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omments1.xml" ContentType="application/vnd.openxmlformats-officedocument.spreadsheetml.comments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https://arespcjcombr-my.sharepoint.com/personal/rodrigo_arespcj_com_br/Documents/000. PRINCIPAL/001. MUNICÍPIOS/Paraibuna/00. Econômico_Financeiro/Reequilíbrio/"/>
    </mc:Choice>
  </mc:AlternateContent>
  <xr:revisionPtr revIDLastSave="1" documentId="8_{07947F35-BDB1-4CC1-B2B8-CAF9AD1F6B0E}" xr6:coauthVersionLast="47" xr6:coauthVersionMax="47" xr10:uidLastSave="{98AB6DD3-5A2F-4D8D-B6D4-AF6350AA6C75}"/>
  <bookViews>
    <workbookView xWindow="-120" yWindow="-120" windowWidth="29040" windowHeight="15720" tabRatio="807" activeTab="1" xr2:uid="{00000000-000D-0000-FFFF-FFFF00000000}"/>
  </bookViews>
  <sheets>
    <sheet name="TS-Resumo" sheetId="84" r:id="rId1"/>
    <sheet name="TS-13 R1 FAT 1" sheetId="57" r:id="rId2"/>
    <sheet name="TS - 14 R1 FAT 2" sheetId="58" r:id="rId3"/>
    <sheet name="R1 DEPR" sheetId="65" state="hidden" r:id="rId4"/>
    <sheet name="TS-R1 DRE" sheetId="82" r:id="rId5"/>
    <sheet name="TS-R1 FC" sheetId="83" r:id="rId6"/>
    <sheet name="1 R1 Pop" sheetId="20" state="hidden" r:id="rId7"/>
    <sheet name="2 R1 Lig" sheetId="21" state="hidden" r:id="rId8"/>
    <sheet name="3 Vol" sheetId="19" state="hidden" r:id="rId9"/>
    <sheet name="4 R1 Vazões" sheetId="42" state="hidden" r:id="rId10"/>
    <sheet name="5 Perdas" sheetId="53" state="hidden" r:id="rId11"/>
    <sheet name="6 Inv Agua" sheetId="27" state="hidden" r:id="rId12"/>
    <sheet name="7 Inv Esgoto" sheetId="51" state="hidden" r:id="rId13"/>
    <sheet name="8 RH" sheetId="69" state="hidden" r:id="rId14"/>
    <sheet name="8 R1 RH" sheetId="29" state="hidden" r:id="rId15"/>
    <sheet name="9 EE" sheetId="70" state="hidden" r:id="rId16"/>
    <sheet name="9 R1 EE" sheetId="47" state="hidden" r:id="rId17"/>
    <sheet name="10 PQ A SA" sheetId="32" state="hidden" r:id="rId18"/>
    <sheet name="10 PQ A AF" sheetId="54" state="hidden" r:id="rId19"/>
    <sheet name="10 PQ A CL" sheetId="55" state="hidden" r:id="rId20"/>
    <sheet name="11 R1 PQ E" sheetId="52" state="hidden" r:id="rId21"/>
    <sheet name="12 R1 Tarifa" sheetId="56" state="hidden" r:id="rId22"/>
    <sheet name="12 R1 Serviços" sheetId="66" state="hidden" r:id="rId23"/>
    <sheet name="15 R1 ARREC" sheetId="59" state="hidden" r:id="rId24"/>
    <sheet name="16 R1 OPEX" sheetId="60" state="hidden" r:id="rId25"/>
    <sheet name="17 R1 INV COMP" sheetId="71" state="hidden" r:id="rId26"/>
    <sheet name="17 R1 INV" sheetId="61" state="hidden" r:id="rId27"/>
    <sheet name="R1 Aux Inv 1" sheetId="67" state="hidden" r:id="rId28"/>
    <sheet name="R1 Aux Inv 2" sheetId="68" state="hidden" r:id="rId29"/>
    <sheet name="18 R1 Invest Total" sheetId="62" state="hidden" r:id="rId30"/>
  </sheets>
  <definedNames>
    <definedName name="\e" localSheetId="18">#REF!</definedName>
    <definedName name="\e" localSheetId="19">#REF!</definedName>
    <definedName name="\e" localSheetId="20">#REF!</definedName>
    <definedName name="\e" localSheetId="12">#REF!</definedName>
    <definedName name="\e">#REF!</definedName>
    <definedName name="\p" localSheetId="18">#REF!</definedName>
    <definedName name="\p" localSheetId="19">#REF!</definedName>
    <definedName name="\p" localSheetId="20">#REF!</definedName>
    <definedName name="\p" localSheetId="12">#REF!</definedName>
    <definedName name="\p">#REF!</definedName>
    <definedName name="_CTD1" localSheetId="18">#REF!</definedName>
    <definedName name="_CTD1" localSheetId="19">#REF!</definedName>
    <definedName name="_CTD1" localSheetId="20">#REF!</definedName>
    <definedName name="_CTD1" localSheetId="12">#REF!</definedName>
    <definedName name="_CTD1">#REF!</definedName>
    <definedName name="_Fill" localSheetId="18" hidden="1">#REF!</definedName>
    <definedName name="_Fill" localSheetId="19" hidden="1">#REF!</definedName>
    <definedName name="_Fill" localSheetId="20" hidden="1">#REF!</definedName>
    <definedName name="_Fill" localSheetId="12" hidden="1">#REF!</definedName>
    <definedName name="_Fill" hidden="1">#REF!</definedName>
    <definedName name="_MLH1" localSheetId="18">#REF!</definedName>
    <definedName name="_MLH1" localSheetId="19">#REF!</definedName>
    <definedName name="_MLH1" localSheetId="20">#REF!</definedName>
    <definedName name="_MLH1" localSheetId="12">#REF!</definedName>
    <definedName name="_MLH1">#REF!</definedName>
    <definedName name="_MLH2" localSheetId="18">#REF!</definedName>
    <definedName name="_MLH2" localSheetId="19">#REF!</definedName>
    <definedName name="_MLH2" localSheetId="20">#REF!</definedName>
    <definedName name="_MLH2" localSheetId="12">#REF!</definedName>
    <definedName name="_MLH2">#REF!</definedName>
    <definedName name="_MLH3" localSheetId="18">#REF!</definedName>
    <definedName name="_MLH3" localSheetId="19">#REF!</definedName>
    <definedName name="_MLH3" localSheetId="20">#REF!</definedName>
    <definedName name="_MLH3" localSheetId="12">#REF!</definedName>
    <definedName name="_MLH3">#REF!</definedName>
    <definedName name="_VAX1" localSheetId="18">#REF!</definedName>
    <definedName name="_VAX1" localSheetId="19">#REF!</definedName>
    <definedName name="_VAX1" localSheetId="20">#REF!</definedName>
    <definedName name="_VAX1" localSheetId="12">#REF!</definedName>
    <definedName name="_VAX1">#REF!</definedName>
    <definedName name="_VAX2" localSheetId="18">#REF!</definedName>
    <definedName name="_VAX2" localSheetId="19">#REF!</definedName>
    <definedName name="_VAX2" localSheetId="20">#REF!</definedName>
    <definedName name="_VAX2" localSheetId="12">#REF!</definedName>
    <definedName name="_VAX2">#REF!</definedName>
    <definedName name="_VRL1" localSheetId="18">#REF!</definedName>
    <definedName name="_VRL1" localSheetId="19">#REF!</definedName>
    <definedName name="_VRL1" localSheetId="20">#REF!</definedName>
    <definedName name="_VRL1" localSheetId="12">#REF!</definedName>
    <definedName name="_VRL1">#REF!</definedName>
    <definedName name="_VRL2" localSheetId="18">#REF!</definedName>
    <definedName name="_VRL2" localSheetId="19">#REF!</definedName>
    <definedName name="_VRL2" localSheetId="20">#REF!</definedName>
    <definedName name="_VRL2" localSheetId="12">#REF!</definedName>
    <definedName name="_VRL2">#REF!</definedName>
    <definedName name="_VRL3" localSheetId="18">#REF!</definedName>
    <definedName name="_VRL3" localSheetId="19">#REF!</definedName>
    <definedName name="_VRL3" localSheetId="20">#REF!</definedName>
    <definedName name="_VRL3" localSheetId="12">#REF!</definedName>
    <definedName name="_VRL3">#REF!</definedName>
    <definedName name="A_I_C_V">#N/A</definedName>
    <definedName name="A_M_FRA">#N/A</definedName>
    <definedName name="A_METROS">#N/A</definedName>
    <definedName name="_xlnm.Print_Area" localSheetId="6">'1 R1 Pop'!$B$1:$K$34</definedName>
    <definedName name="_xlnm.Print_Area" localSheetId="18">'10 PQ A AF'!$B$1:$F$33</definedName>
    <definedName name="_xlnm.Print_Area" localSheetId="19">'10 PQ A CL'!$B$1:$F$33</definedName>
    <definedName name="_xlnm.Print_Area" localSheetId="17">'10 PQ A SA'!$B$1:$F$33</definedName>
    <definedName name="_xlnm.Print_Area" localSheetId="20">'11 R1 PQ E'!$B$1:$F$33</definedName>
    <definedName name="_xlnm.Print_Area" localSheetId="22">'12 R1 Serviços'!$B$1:$D$91</definedName>
    <definedName name="_xlnm.Print_Area" localSheetId="21">'12 R1 Tarifa'!$B$1:$E$26</definedName>
    <definedName name="_xlnm.Print_Area" localSheetId="23">'15 R1 ARREC'!$B$1:$F$35</definedName>
    <definedName name="_xlnm.Print_Area" localSheetId="24">'16 R1 OPEX'!$B$1:$K$35</definedName>
    <definedName name="_xlnm.Print_Area" localSheetId="26">'17 R1 INV'!$B$1:$AL$67</definedName>
    <definedName name="_xlnm.Print_Area" localSheetId="29">'18 R1 Invest Total'!$B$1:$F$34</definedName>
    <definedName name="_xlnm.Print_Area" localSheetId="7">'2 R1 Lig'!$B$1:$F$33</definedName>
    <definedName name="_xlnm.Print_Area" localSheetId="8">'3 Vol'!$B$1:$G$33</definedName>
    <definedName name="_xlnm.Print_Area" localSheetId="9">'4 R1 Vazões'!$B$1:$I$34</definedName>
    <definedName name="_xlnm.Print_Area" localSheetId="11">'6 Inv Agua'!$B$1:$H$33</definedName>
    <definedName name="_xlnm.Print_Area" localSheetId="12">'7 Inv Esgoto'!$B$1:$F$33</definedName>
    <definedName name="_xlnm.Print_Area" localSheetId="14">'8 R1 RH'!$B$1:$J$33</definedName>
    <definedName name="_xlnm.Print_Area" localSheetId="16">'9 R1 EE'!$S$1:$Y$33</definedName>
    <definedName name="_xlnm.Print_Area" localSheetId="2">'TS - 14 R1 FAT 2'!$D$1:$H$35</definedName>
    <definedName name="_xlnm.Print_Area" localSheetId="1">'TS-13 R1 FAT 1'!$C$1:$I$37</definedName>
    <definedName name="_xlnm.Print_Area" localSheetId="4">'TS-R1 DRE'!$B$1:$AG$28</definedName>
    <definedName name="_xlnm.Print_Area" localSheetId="5">'TS-R1 FC'!$A$1:$AG$24</definedName>
    <definedName name="AREA_FRAC">#N/A</definedName>
    <definedName name="AREA_LEG">#N/A</definedName>
    <definedName name="AREA_MUN">#N/A</definedName>
    <definedName name="AREAFRAC">#N/A</definedName>
    <definedName name="BCOS" localSheetId="18">#REF!</definedName>
    <definedName name="BCOS" localSheetId="19">#REF!</definedName>
    <definedName name="BCOS" localSheetId="20">#REF!</definedName>
    <definedName name="BCOS" localSheetId="12">#REF!</definedName>
    <definedName name="BCOS">#REF!</definedName>
    <definedName name="BD01_20" localSheetId="18">#REF!</definedName>
    <definedName name="BD01_20" localSheetId="19">#REF!</definedName>
    <definedName name="BD01_20" localSheetId="20">#REF!</definedName>
    <definedName name="BD01_20" localSheetId="12">#REF!</definedName>
    <definedName name="BD01_20">#REF!</definedName>
    <definedName name="BD1_9" localSheetId="18">#REF!</definedName>
    <definedName name="BD1_9" localSheetId="19">#REF!</definedName>
    <definedName name="BD1_9" localSheetId="20">#REF!</definedName>
    <definedName name="BD1_9" localSheetId="12">#REF!</definedName>
    <definedName name="BD1_9">#REF!</definedName>
    <definedName name="BD100_900" localSheetId="18">#REF!</definedName>
    <definedName name="BD100_900" localSheetId="19">#REF!</definedName>
    <definedName name="BD100_900" localSheetId="20">#REF!</definedName>
    <definedName name="BD100_900" localSheetId="12">#REF!</definedName>
    <definedName name="BD100_900">#REF!</definedName>
    <definedName name="BD20_90" localSheetId="18">#REF!</definedName>
    <definedName name="BD20_90" localSheetId="19">#REF!</definedName>
    <definedName name="BD20_90" localSheetId="20">#REF!</definedName>
    <definedName name="BD20_90" localSheetId="12">#REF!</definedName>
    <definedName name="BD20_90">#REF!</definedName>
    <definedName name="BERCO" localSheetId="18">#REF!</definedName>
    <definedName name="BERCO" localSheetId="19">#REF!</definedName>
    <definedName name="BERCO" localSheetId="20">#REF!</definedName>
    <definedName name="BERCO" localSheetId="12">#REF!</definedName>
    <definedName name="BERCO">#REF!</definedName>
    <definedName name="BT__1" localSheetId="18">#REF!</definedName>
    <definedName name="BT__1" localSheetId="19">#REF!</definedName>
    <definedName name="BT__1" localSheetId="20">#REF!</definedName>
    <definedName name="BT__1" localSheetId="12">#REF!</definedName>
    <definedName name="BT__1">#REF!</definedName>
    <definedName name="BT_AOES" localSheetId="18">#REF!</definedName>
    <definedName name="BT_AOES" localSheetId="19">#REF!</definedName>
    <definedName name="BT_AOES" localSheetId="20">#REF!</definedName>
    <definedName name="BT_AOES" localSheetId="12">#REF!</definedName>
    <definedName name="BT_AOES">#REF!</definedName>
    <definedName name="BT_BLH" localSheetId="18">#REF!</definedName>
    <definedName name="BT_BLH" localSheetId="19">#REF!</definedName>
    <definedName name="BT_BLH" localSheetId="20">#REF!</definedName>
    <definedName name="BT_BLH" localSheetId="12">#REF!</definedName>
    <definedName name="BT_BLH">#REF!</definedName>
    <definedName name="BT_CEM" localSheetId="18">#REF!</definedName>
    <definedName name="BT_CEM" localSheetId="19">#REF!</definedName>
    <definedName name="BT_CEM" localSheetId="20">#REF!</definedName>
    <definedName name="BT_CEM" localSheetId="12">#REF!</definedName>
    <definedName name="BT_CEM">#REF!</definedName>
    <definedName name="BT_CTAVO" localSheetId="18">#REF!</definedName>
    <definedName name="BT_CTAVO" localSheetId="19">#REF!</definedName>
    <definedName name="BT_CTAVO" localSheetId="20">#REF!</definedName>
    <definedName name="BT_CTAVO" localSheetId="12">#REF!</definedName>
    <definedName name="BT_CTAVO">#REF!</definedName>
    <definedName name="BT_DE" localSheetId="18">#REF!</definedName>
    <definedName name="BT_DE" localSheetId="19">#REF!</definedName>
    <definedName name="BT_DE" localSheetId="20">#REF!</definedName>
    <definedName name="BT_DE" localSheetId="12">#REF!</definedName>
    <definedName name="BT_DE">#REF!</definedName>
    <definedName name="BT_E" localSheetId="18">#REF!</definedName>
    <definedName name="BT_E" localSheetId="19">#REF!</definedName>
    <definedName name="BT_E" localSheetId="20">#REF!</definedName>
    <definedName name="BT_E" localSheetId="12">#REF!</definedName>
    <definedName name="BT_E">#REF!</definedName>
    <definedName name="BT_EVG" localSheetId="18">#REF!</definedName>
    <definedName name="BT_EVG" localSheetId="19">#REF!</definedName>
    <definedName name="BT_EVG" localSheetId="20">#REF!</definedName>
    <definedName name="BT_EVG" localSheetId="12">#REF!</definedName>
    <definedName name="BT_EVG">#REF!</definedName>
    <definedName name="BT_MDA" localSheetId="18">#REF!</definedName>
    <definedName name="BT_MDA" localSheetId="19">#REF!</definedName>
    <definedName name="BT_MDA" localSheetId="20">#REF!</definedName>
    <definedName name="BT_MDA" localSheetId="12">#REF!</definedName>
    <definedName name="BT_MDA">#REF!</definedName>
    <definedName name="BT_MIL" localSheetId="18">#REF!</definedName>
    <definedName name="BT_MIL" localSheetId="19">#REF!</definedName>
    <definedName name="BT_MIL" localSheetId="20">#REF!</definedName>
    <definedName name="BT_MIL" localSheetId="12">#REF!</definedName>
    <definedName name="BT_MIL">#REF!</definedName>
    <definedName name="BT_MLH" localSheetId="18">#REF!</definedName>
    <definedName name="BT_MLH" localSheetId="19">#REF!</definedName>
    <definedName name="BT_MLH" localSheetId="20">#REF!</definedName>
    <definedName name="BT_MLH" localSheetId="12">#REF!</definedName>
    <definedName name="BT_MLH">#REF!</definedName>
    <definedName name="BT_VG" localSheetId="18">#REF!</definedName>
    <definedName name="BT_VG" localSheetId="19">#REF!</definedName>
    <definedName name="BT_VG" localSheetId="20">#REF!</definedName>
    <definedName name="BT_VG" localSheetId="12">#REF!</definedName>
    <definedName name="BT_VG">#REF!</definedName>
    <definedName name="C_G_LAT">#N/A</definedName>
    <definedName name="C_G_LON">#N/A</definedName>
    <definedName name="C_M_LAT">#N/A</definedName>
    <definedName name="C_M_LON">#N/A</definedName>
    <definedName name="C_S_LAT">#N/A</definedName>
    <definedName name="C_S_LON">#N/A</definedName>
    <definedName name="CLAS_ECO">#N/A</definedName>
    <definedName name="CLAS_LOC">#N/A</definedName>
    <definedName name="COD_DIST">#N/A</definedName>
    <definedName name="COD_ME_R">#N/A</definedName>
    <definedName name="COD_MI_R">#N/A</definedName>
    <definedName name="COD_MUNI">#N/A</definedName>
    <definedName name="COD_UF">#N/A</definedName>
    <definedName name="CPONT" localSheetId="18">#REF!</definedName>
    <definedName name="CPONT" localSheetId="19">#REF!</definedName>
    <definedName name="CPONT" localSheetId="20">#REF!</definedName>
    <definedName name="CPONT" localSheetId="12">#REF!</definedName>
    <definedName name="CPONT">#REF!</definedName>
    <definedName name="CTD" localSheetId="18">#REF!</definedName>
    <definedName name="CTD" localSheetId="19">#REF!</definedName>
    <definedName name="CTD" localSheetId="20">#REF!</definedName>
    <definedName name="CTD" localSheetId="12">#REF!</definedName>
    <definedName name="CTD">#REF!</definedName>
    <definedName name="Data_base_coleta">#REF!</definedName>
    <definedName name="data_base_UTE">#REF!</definedName>
    <definedName name="datafim">#REF!</definedName>
    <definedName name="DV_MUNI">#N/A</definedName>
    <definedName name="EntFin">#REF!</definedName>
    <definedName name="F_A_REF">#N/A</definedName>
    <definedName name="F_C_REF">#N/A</definedName>
    <definedName name="g">#REF!</definedName>
    <definedName name="GRV" localSheetId="18">#REF!</definedName>
    <definedName name="GRV" localSheetId="19">#REF!</definedName>
    <definedName name="GRV" localSheetId="20">#REF!</definedName>
    <definedName name="GRV" localSheetId="12">#REF!</definedName>
    <definedName name="GRV">#REF!</definedName>
    <definedName name="MLH0" localSheetId="18">#REF!</definedName>
    <definedName name="MLH0" localSheetId="19">#REF!</definedName>
    <definedName name="MLH0" localSheetId="20">#REF!</definedName>
    <definedName name="MLH0" localSheetId="12">#REF!</definedName>
    <definedName name="MLH0">#REF!</definedName>
    <definedName name="MUN_LITO">#N/A</definedName>
    <definedName name="N_LOCAL">#N/A</definedName>
    <definedName name="NUN_FRON">#N/A</definedName>
    <definedName name="O_A_REF">#N/A</definedName>
    <definedName name="O_C_REF">#N/A</definedName>
    <definedName name="POP_93">#N/A</definedName>
    <definedName name="Print_Area_MI" localSheetId="18">#REF!</definedName>
    <definedName name="Print_Area_MI" localSheetId="19">#REF!</definedName>
    <definedName name="Print_Area_MI" localSheetId="20">#REF!</definedName>
    <definedName name="Print_Area_MI" localSheetId="23">#REF!</definedName>
    <definedName name="Print_Area_MI" localSheetId="24">#REF!</definedName>
    <definedName name="Print_Area_MI" localSheetId="26">#REF!</definedName>
    <definedName name="Print_Area_MI" localSheetId="29">#REF!</definedName>
    <definedName name="Print_Area_MI" localSheetId="9">#REF!</definedName>
    <definedName name="Print_Area_MI" localSheetId="12">#REF!</definedName>
    <definedName name="Print_Area_MI" localSheetId="16">#REF!</definedName>
    <definedName name="Print_Area_MI" localSheetId="2">#REF!</definedName>
    <definedName name="Print_Area_MI" localSheetId="1">#REF!</definedName>
    <definedName name="Print_Area_MI">#REF!</definedName>
    <definedName name="RTC" localSheetId="18">#REF!</definedName>
    <definedName name="RTC" localSheetId="19">#REF!</definedName>
    <definedName name="RTC" localSheetId="20">#REF!</definedName>
    <definedName name="RTC" localSheetId="12">#REF!</definedName>
    <definedName name="RTC">#REF!</definedName>
    <definedName name="RTE" localSheetId="18">#REF!</definedName>
    <definedName name="RTE" localSheetId="19">#REF!</definedName>
    <definedName name="RTE" localSheetId="20">#REF!</definedName>
    <definedName name="RTE" localSheetId="12">#REF!</definedName>
    <definedName name="RTE">#REF!</definedName>
    <definedName name="RTP" localSheetId="18">#REF!</definedName>
    <definedName name="RTP" localSheetId="19">#REF!</definedName>
    <definedName name="RTP" localSheetId="20">#REF!</definedName>
    <definedName name="RTP" localSheetId="12">#REF!</definedName>
    <definedName name="RTP">#REF!</definedName>
    <definedName name="S_MAME_L">#N/A</definedName>
    <definedName name="SaiFin">#REF!</definedName>
    <definedName name="SDA" localSheetId="18">#REF!</definedName>
    <definedName name="SDA" localSheetId="19">#REF!</definedName>
    <definedName name="SDA" localSheetId="20">#REF!</definedName>
    <definedName name="SDA" localSheetId="12">#REF!</definedName>
    <definedName name="SDA">#REF!</definedName>
    <definedName name="SIGLA_UF">#N/A</definedName>
    <definedName name="Simulador" localSheetId="18">#REF!</definedName>
    <definedName name="Simulador" localSheetId="19">#REF!</definedName>
    <definedName name="Simulador" localSheetId="20">#REF!</definedName>
    <definedName name="Simulador" localSheetId="23">#REF!</definedName>
    <definedName name="Simulador" localSheetId="24">#REF!</definedName>
    <definedName name="Simulador" localSheetId="26">#REF!</definedName>
    <definedName name="Simulador" localSheetId="29">#REF!</definedName>
    <definedName name="Simulador" localSheetId="9">#REF!</definedName>
    <definedName name="Simulador" localSheetId="12">#REF!</definedName>
    <definedName name="Simulador" localSheetId="16">#REF!</definedName>
    <definedName name="Simulador" localSheetId="2">#REF!</definedName>
    <definedName name="Simulador" localSheetId="1">#REF!</definedName>
    <definedName name="Simulador">#REF!</definedName>
    <definedName name="solver_adj" localSheetId="1" hidden="1">'TS-13 R1 FAT 1'!#REF!,'TS-13 R1 FAT 1'!#REF!,'TS-13 R1 FAT 1'!#REF!</definedName>
    <definedName name="solver_cvg" localSheetId="1" hidden="1">0.0001</definedName>
    <definedName name="solver_drv" localSheetId="1" hidden="1">1</definedName>
    <definedName name="solver_est" localSheetId="1" hidden="1">1</definedName>
    <definedName name="solver_itr" localSheetId="1" hidden="1">100</definedName>
    <definedName name="solver_lin" localSheetId="1" hidden="1">2</definedName>
    <definedName name="solver_neg" localSheetId="1" hidden="1">2</definedName>
    <definedName name="solver_num" localSheetId="1" hidden="1">0</definedName>
    <definedName name="solver_nwt" localSheetId="1" hidden="1">1</definedName>
    <definedName name="solver_opt" localSheetId="1" hidden="1">'TS-13 R1 FAT 1'!$I$5</definedName>
    <definedName name="solver_pre" localSheetId="1" hidden="1">0.000001</definedName>
    <definedName name="solver_scl" localSheetId="1" hidden="1">2</definedName>
    <definedName name="solver_sho" localSheetId="1" hidden="1">2</definedName>
    <definedName name="solver_tim" localSheetId="1" hidden="1">100</definedName>
    <definedName name="solver_tol" localSheetId="1" hidden="1">0.05</definedName>
    <definedName name="solver_typ" localSheetId="1" hidden="1">3</definedName>
    <definedName name="solver_val" localSheetId="1" hidden="1">6530247.77</definedName>
    <definedName name="SRT" localSheetId="18">#REF!</definedName>
    <definedName name="SRT" localSheetId="19">#REF!</definedName>
    <definedName name="SRT" localSheetId="20">#REF!</definedName>
    <definedName name="SRT" localSheetId="12">#REF!</definedName>
    <definedName name="SRT">#REF!</definedName>
    <definedName name="SUDENE">#N/A</definedName>
    <definedName name="TabPBI" localSheetId="18">#REF!</definedName>
    <definedName name="TabPBI" localSheetId="19">#REF!</definedName>
    <definedName name="TabPBI" localSheetId="20">#REF!</definedName>
    <definedName name="TabPBI" localSheetId="23">#REF!</definedName>
    <definedName name="TabPBI" localSheetId="24">#REF!</definedName>
    <definedName name="TabPBI" localSheetId="26">#REF!</definedName>
    <definedName name="TabPBI" localSheetId="29">#REF!</definedName>
    <definedName name="TabPBI" localSheetId="9">#REF!</definedName>
    <definedName name="TabPBI" localSheetId="12">#REF!</definedName>
    <definedName name="TabPBI" localSheetId="16">#REF!</definedName>
    <definedName name="TabPBI" localSheetId="2">#REF!</definedName>
    <definedName name="TabPBI" localSheetId="1">#REF!</definedName>
    <definedName name="TabPBI">#REF!</definedName>
    <definedName name="TabPBP" localSheetId="18">#REF!</definedName>
    <definedName name="TabPBP" localSheetId="19">#REF!</definedName>
    <definedName name="TabPBP" localSheetId="20">#REF!</definedName>
    <definedName name="TabPBP" localSheetId="23">#REF!</definedName>
    <definedName name="TabPBP" localSheetId="24">#REF!</definedName>
    <definedName name="TabPBP" localSheetId="26">#REF!</definedName>
    <definedName name="TabPBP" localSheetId="29">#REF!</definedName>
    <definedName name="TabPBP" localSheetId="9">#REF!</definedName>
    <definedName name="TabPBP" localSheetId="12">#REF!</definedName>
    <definedName name="TabPBP" localSheetId="16">#REF!</definedName>
    <definedName name="TabPBP" localSheetId="2">#REF!</definedName>
    <definedName name="TabPBP" localSheetId="1">#REF!</definedName>
    <definedName name="TabPBP">#REF!</definedName>
    <definedName name="_xlnm.Print_Titles" localSheetId="6">'1 R1 Pop'!$B:$B</definedName>
    <definedName name="_xlnm.Print_Titles" localSheetId="18">'10 PQ A AF'!$B:$B</definedName>
    <definedName name="_xlnm.Print_Titles" localSheetId="19">'10 PQ A CL'!$B:$B</definedName>
    <definedName name="_xlnm.Print_Titles" localSheetId="17">'10 PQ A SA'!$B:$B</definedName>
    <definedName name="_xlnm.Print_Titles" localSheetId="20">'11 R1 PQ E'!$B:$B</definedName>
    <definedName name="_xlnm.Print_Titles" localSheetId="23">'15 R1 ARREC'!$B:$B</definedName>
    <definedName name="_xlnm.Print_Titles" localSheetId="24">'16 R1 OPEX'!$B:$B</definedName>
    <definedName name="_xlnm.Print_Titles" localSheetId="26">'17 R1 INV'!$B:$H</definedName>
    <definedName name="_xlnm.Print_Titles" localSheetId="29">'18 R1 Invest Total'!$B:$B</definedName>
    <definedName name="_xlnm.Print_Titles" localSheetId="7">'2 R1 Lig'!$B:$B</definedName>
    <definedName name="_xlnm.Print_Titles" localSheetId="8">'3 Vol'!$B:$B</definedName>
    <definedName name="_xlnm.Print_Titles" localSheetId="9">'4 R1 Vazões'!$B:$B</definedName>
    <definedName name="_xlnm.Print_Titles" localSheetId="11">'6 Inv Agua'!$B:$B</definedName>
    <definedName name="_xlnm.Print_Titles" localSheetId="12">'7 Inv Esgoto'!$B:$B</definedName>
    <definedName name="_xlnm.Print_Titles" localSheetId="14">'8 R1 RH'!$B:$B</definedName>
    <definedName name="_xlnm.Print_Titles" localSheetId="16">'9 R1 EE'!$S:$S</definedName>
    <definedName name="_xlnm.Print_Titles" localSheetId="2">'TS - 14 R1 FAT 2'!$D:$D</definedName>
    <definedName name="_xlnm.Print_Titles" localSheetId="1">'TS-13 R1 FAT 1'!$C:$C</definedName>
    <definedName name="_xlnm.Print_Titles" localSheetId="4">'TS-R1 DRE'!$B:$B</definedName>
    <definedName name="_xlnm.Print_Titles" localSheetId="5">'TS-R1 FC'!$B:$B,'TS-R1 FC'!$1:$3</definedName>
    <definedName name="TROCA" localSheetId="18">#REF!</definedName>
    <definedName name="TROCA" localSheetId="19">#REF!</definedName>
    <definedName name="TROCA" localSheetId="20">#REF!</definedName>
    <definedName name="TROCA" localSheetId="12">#REF!</definedName>
    <definedName name="TROCA">#REF!</definedName>
    <definedName name="VAX_ANT" localSheetId="18">#REF!</definedName>
    <definedName name="VAX_ANT" localSheetId="19">#REF!</definedName>
    <definedName name="VAX_ANT" localSheetId="20">#REF!</definedName>
    <definedName name="VAX_ANT" localSheetId="12">#REF!</definedName>
    <definedName name="VAX_ANT">#REF!</definedName>
    <definedName name="VRL" localSheetId="18">#REF!</definedName>
    <definedName name="VRL" localSheetId="19">#REF!</definedName>
    <definedName name="VRL" localSheetId="20">#REF!</definedName>
    <definedName name="VRL" localSheetId="12">#REF!</definedName>
    <definedName name="VRL">#REF!</definedName>
    <definedName name="VRL0" localSheetId="18">#REF!</definedName>
    <definedName name="VRL0" localSheetId="19">#REF!</definedName>
    <definedName name="VRL0" localSheetId="20">#REF!</definedName>
    <definedName name="VRL0" localSheetId="12">#REF!</definedName>
    <definedName name="VRL0">#REF!</definedName>
  </definedNames>
  <calcPr calcId="191029" iterateCount="10000" iterateDelta="1.0000000000000001E-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6" i="57" l="1"/>
  <c r="R35" i="57"/>
  <c r="R34" i="57"/>
  <c r="R33" i="57"/>
  <c r="R32" i="57"/>
  <c r="R31" i="57"/>
  <c r="R30" i="57"/>
  <c r="R29" i="57"/>
  <c r="R28" i="57"/>
  <c r="R27" i="57"/>
  <c r="R26" i="57"/>
  <c r="R25" i="57"/>
  <c r="R24" i="57"/>
  <c r="R23" i="57"/>
  <c r="R22" i="57"/>
  <c r="R21" i="57"/>
  <c r="R20" i="57"/>
  <c r="R19" i="57"/>
  <c r="C2" i="84"/>
  <c r="R18" i="57"/>
  <c r="L11" i="58"/>
  <c r="C10" i="58"/>
  <c r="C11" i="58" s="1"/>
  <c r="C12" i="58" s="1"/>
  <c r="C13" i="58" s="1"/>
  <c r="C14" i="58" s="1"/>
  <c r="C15" i="58" s="1"/>
  <c r="C16" i="58" s="1"/>
  <c r="C17" i="58" s="1"/>
  <c r="C18" i="58" s="1"/>
  <c r="C19" i="58" s="1"/>
  <c r="C20" i="58" s="1"/>
  <c r="C21" i="58" s="1"/>
  <c r="C22" i="58" s="1"/>
  <c r="C23" i="58" s="1"/>
  <c r="C24" i="58" s="1"/>
  <c r="C25" i="58" s="1"/>
  <c r="C26" i="58" s="1"/>
  <c r="C27" i="58" s="1"/>
  <c r="C28" i="58" s="1"/>
  <c r="C29" i="58" s="1"/>
  <c r="C30" i="58" s="1"/>
  <c r="C31" i="58" s="1"/>
  <c r="C32" i="58" s="1"/>
  <c r="C33" i="58" s="1"/>
  <c r="C34" i="58" s="1"/>
  <c r="A10" i="58"/>
  <c r="A11" i="58" s="1"/>
  <c r="A12" i="58" s="1"/>
  <c r="A13" i="58" s="1"/>
  <c r="A14" i="58" s="1"/>
  <c r="A15" i="58" s="1"/>
  <c r="A16" i="58" s="1"/>
  <c r="A17" i="58" s="1"/>
  <c r="A18" i="58" s="1"/>
  <c r="A19" i="58" s="1"/>
  <c r="A20" i="58" s="1"/>
  <c r="A21" i="58" s="1"/>
  <c r="A22" i="58" s="1"/>
  <c r="A23" i="58" s="1"/>
  <c r="A24" i="58" s="1"/>
  <c r="A25" i="58" s="1"/>
  <c r="A26" i="58" s="1"/>
  <c r="A27" i="58" s="1"/>
  <c r="A28" i="58" s="1"/>
  <c r="A29" i="58" s="1"/>
  <c r="A30" i="58" s="1"/>
  <c r="A31" i="58" s="1"/>
  <c r="A32" i="58" s="1"/>
  <c r="A33" i="58" s="1"/>
  <c r="A34" i="58" s="1"/>
  <c r="R17" i="57"/>
  <c r="S15" i="57"/>
  <c r="R15" i="57"/>
  <c r="T19" i="57" l="1"/>
  <c r="T20" i="57"/>
  <c r="F31" i="58"/>
  <c r="F26" i="58"/>
  <c r="F25" i="58"/>
  <c r="F21" i="58"/>
  <c r="F27" i="58"/>
  <c r="F20" i="58"/>
  <c r="F33" i="58"/>
  <c r="F32" i="58"/>
  <c r="F19" i="58"/>
  <c r="F30" i="58"/>
  <c r="F14" i="58"/>
  <c r="F17" i="58"/>
  <c r="F15" i="58"/>
  <c r="F18" i="58"/>
  <c r="F29" i="58"/>
  <c r="F34" i="58"/>
  <c r="F28" i="58"/>
  <c r="F22" i="58"/>
  <c r="F16" i="58"/>
  <c r="F24" i="58"/>
  <c r="F23" i="58"/>
  <c r="T21" i="57" l="1"/>
  <c r="T22" i="57" l="1"/>
  <c r="T23" i="57" l="1"/>
  <c r="T24" i="57" l="1"/>
  <c r="T25" i="57" l="1"/>
  <c r="T26" i="57" l="1"/>
  <c r="T27" i="57" l="1"/>
  <c r="T28" i="57" l="1"/>
  <c r="T29" i="57" l="1"/>
  <c r="T30" i="57" l="1"/>
  <c r="T31" i="57" l="1"/>
  <c r="T32" i="57" l="1"/>
  <c r="T33" i="57" l="1"/>
  <c r="T34" i="57" l="1"/>
  <c r="T36" i="57" l="1"/>
  <c r="T35" i="57"/>
  <c r="Q13" i="57" l="1"/>
  <c r="B10" i="57"/>
  <c r="B11" i="57" s="1"/>
  <c r="B12" i="57" s="1"/>
  <c r="B13" i="57" s="1"/>
  <c r="B15" i="57" s="1"/>
  <c r="B17" i="57" s="1"/>
  <c r="B18" i="57" s="1"/>
  <c r="B19" i="57" s="1"/>
  <c r="B20" i="57" s="1"/>
  <c r="B21" i="57" s="1"/>
  <c r="B22" i="57" s="1"/>
  <c r="B23" i="57" s="1"/>
  <c r="B24" i="57" s="1"/>
  <c r="B25" i="57" s="1"/>
  <c r="B26" i="57" s="1"/>
  <c r="B27" i="57" s="1"/>
  <c r="B28" i="57" s="1"/>
  <c r="B29" i="57" s="1"/>
  <c r="B30" i="57" s="1"/>
  <c r="B31" i="57" s="1"/>
  <c r="B32" i="57" s="1"/>
  <c r="B33" i="57" s="1"/>
  <c r="B34" i="57" s="1"/>
  <c r="B35" i="57" s="1"/>
  <c r="B36" i="57" s="1"/>
  <c r="A10" i="57"/>
  <c r="A11" i="57" s="1"/>
  <c r="A12" i="57" s="1"/>
  <c r="A13" i="57" s="1"/>
  <c r="A15" i="57" s="1"/>
  <c r="A17" i="57" s="1"/>
  <c r="A18" i="57" s="1"/>
  <c r="A19" i="57" s="1"/>
  <c r="A20" i="57" s="1"/>
  <c r="A21" i="57" s="1"/>
  <c r="A22" i="57" s="1"/>
  <c r="A23" i="57" s="1"/>
  <c r="A24" i="57" s="1"/>
  <c r="A25" i="57" s="1"/>
  <c r="A26" i="57" s="1"/>
  <c r="A27" i="57" s="1"/>
  <c r="A28" i="57" s="1"/>
  <c r="A29" i="57" s="1"/>
  <c r="A30" i="57" s="1"/>
  <c r="A31" i="57" s="1"/>
  <c r="A32" i="57" s="1"/>
  <c r="A33" i="57" s="1"/>
  <c r="A34" i="57" s="1"/>
  <c r="A35" i="57" s="1"/>
  <c r="A36" i="57" s="1"/>
  <c r="AJ2" i="47" l="1"/>
  <c r="D90" i="66"/>
  <c r="D89" i="66"/>
  <c r="D88" i="66"/>
  <c r="D87" i="66"/>
  <c r="D86" i="66"/>
  <c r="D84" i="66"/>
  <c r="D76" i="66"/>
  <c r="D73" i="66"/>
  <c r="D72" i="66"/>
  <c r="D71" i="66"/>
  <c r="D66" i="66"/>
  <c r="D65" i="66"/>
  <c r="D63" i="66"/>
  <c r="D62" i="66"/>
  <c r="D61" i="66"/>
  <c r="D58" i="66"/>
  <c r="D57" i="66"/>
  <c r="D56" i="66"/>
  <c r="D54" i="66"/>
  <c r="D51" i="66"/>
  <c r="D46" i="66"/>
  <c r="D47" i="66"/>
  <c r="D45" i="66"/>
  <c r="D43" i="66"/>
  <c r="D42" i="66"/>
  <c r="D36" i="66"/>
  <c r="D35" i="66"/>
  <c r="D34" i="66"/>
  <c r="D33" i="66"/>
  <c r="D32" i="66"/>
  <c r="D31" i="66"/>
  <c r="D30" i="66"/>
  <c r="D29" i="66"/>
  <c r="D28" i="66"/>
  <c r="D27" i="66"/>
  <c r="D26" i="66"/>
  <c r="D25" i="66"/>
  <c r="D13" i="66"/>
  <c r="D14" i="66"/>
  <c r="D15" i="66"/>
  <c r="D16" i="66"/>
  <c r="D17" i="66"/>
  <c r="D18" i="66"/>
  <c r="D19" i="66"/>
  <c r="D20" i="66"/>
  <c r="D21" i="66"/>
  <c r="D22" i="66"/>
  <c r="D23" i="66"/>
  <c r="D12" i="66"/>
  <c r="D6" i="66"/>
  <c r="D7" i="66"/>
  <c r="D8" i="66"/>
  <c r="D9" i="66"/>
  <c r="D7" i="56"/>
  <c r="D8" i="56"/>
  <c r="D9" i="56"/>
  <c r="D10" i="56"/>
  <c r="D11" i="56"/>
  <c r="D12" i="56"/>
  <c r="D13" i="56"/>
  <c r="D14" i="56"/>
  <c r="D15" i="56"/>
  <c r="D16" i="56"/>
  <c r="D17" i="56"/>
  <c r="D18" i="56"/>
  <c r="D19" i="56"/>
  <c r="D20" i="56"/>
  <c r="D21" i="56"/>
  <c r="D22" i="56"/>
  <c r="D23" i="56"/>
  <c r="D24" i="56"/>
  <c r="D25" i="56"/>
  <c r="D26" i="56"/>
  <c r="D6" i="56"/>
  <c r="C13" i="83"/>
  <c r="C12" i="83"/>
  <c r="W3" i="57"/>
  <c r="X3" i="57"/>
  <c r="Y3" i="57"/>
  <c r="V3" i="57"/>
  <c r="S3" i="57"/>
  <c r="T3" i="57"/>
  <c r="U3" i="57"/>
  <c r="P3" i="57"/>
  <c r="M4" i="60"/>
  <c r="AH3" i="47"/>
  <c r="I5" i="60" l="1"/>
  <c r="D28" i="83" l="1"/>
  <c r="F28" i="83" s="1"/>
  <c r="D27" i="83"/>
  <c r="D18" i="83"/>
  <c r="E18" i="83" s="1"/>
  <c r="F18" i="83" s="1"/>
  <c r="AF10" i="83"/>
  <c r="AE10" i="83"/>
  <c r="AD10" i="83"/>
  <c r="AC10" i="83"/>
  <c r="AB10" i="83"/>
  <c r="AA10" i="83"/>
  <c r="AA7" i="83" s="1"/>
  <c r="Z10" i="83"/>
  <c r="Z7" i="83" s="1"/>
  <c r="Y10" i="83"/>
  <c r="X10" i="83"/>
  <c r="W10" i="83"/>
  <c r="V10" i="83"/>
  <c r="U10" i="83"/>
  <c r="T10" i="83"/>
  <c r="S10" i="83"/>
  <c r="R10" i="83"/>
  <c r="Q10" i="83"/>
  <c r="P10" i="83"/>
  <c r="O10" i="83"/>
  <c r="O7" i="83" s="1"/>
  <c r="N10" i="83"/>
  <c r="N7" i="83" s="1"/>
  <c r="M10" i="83"/>
  <c r="L10" i="83"/>
  <c r="K10" i="83"/>
  <c r="J10" i="83"/>
  <c r="I10" i="83"/>
  <c r="H10" i="83"/>
  <c r="G10" i="83"/>
  <c r="F10" i="83"/>
  <c r="E10" i="83"/>
  <c r="D10" i="83"/>
  <c r="C10" i="83"/>
  <c r="C7" i="83" s="1"/>
  <c r="AF9" i="83"/>
  <c r="AE9" i="83"/>
  <c r="AD9" i="83"/>
  <c r="AC9" i="83"/>
  <c r="AB9" i="83"/>
  <c r="AA9" i="83"/>
  <c r="Z9" i="83"/>
  <c r="Y9" i="83"/>
  <c r="X9" i="83"/>
  <c r="W9" i="83"/>
  <c r="V9" i="83"/>
  <c r="U9" i="83"/>
  <c r="T9" i="83"/>
  <c r="S9" i="83"/>
  <c r="R9" i="83"/>
  <c r="Q9" i="83"/>
  <c r="P9" i="83"/>
  <c r="O9" i="83"/>
  <c r="N9" i="83"/>
  <c r="M9" i="83"/>
  <c r="L9" i="83"/>
  <c r="K9" i="83"/>
  <c r="J9" i="83"/>
  <c r="I9" i="83"/>
  <c r="AG9" i="83" s="1"/>
  <c r="H9" i="83"/>
  <c r="G9" i="83"/>
  <c r="F9" i="83"/>
  <c r="E9" i="83"/>
  <c r="D9" i="83"/>
  <c r="C9" i="83"/>
  <c r="AF8" i="83"/>
  <c r="AF7" i="83" s="1"/>
  <c r="AE8" i="83"/>
  <c r="AE7" i="83" s="1"/>
  <c r="AD8" i="83"/>
  <c r="AD7" i="83" s="1"/>
  <c r="AC8" i="83"/>
  <c r="AC7" i="83" s="1"/>
  <c r="AB8" i="83"/>
  <c r="AB7" i="83" s="1"/>
  <c r="AA8" i="83"/>
  <c r="Z8" i="83"/>
  <c r="Y8" i="83"/>
  <c r="X8" i="83"/>
  <c r="W8" i="83"/>
  <c r="V8" i="83"/>
  <c r="V7" i="83" s="1"/>
  <c r="U8" i="83"/>
  <c r="U7" i="83" s="1"/>
  <c r="T8" i="83"/>
  <c r="T7" i="83" s="1"/>
  <c r="S8" i="83"/>
  <c r="S7" i="83" s="1"/>
  <c r="R8" i="83"/>
  <c r="R7" i="83" s="1"/>
  <c r="Q8" i="83"/>
  <c r="Q7" i="83" s="1"/>
  <c r="P8" i="83"/>
  <c r="P7" i="83" s="1"/>
  <c r="O8" i="83"/>
  <c r="N8" i="83"/>
  <c r="M8" i="83"/>
  <c r="L8" i="83"/>
  <c r="K8" i="83"/>
  <c r="J8" i="83"/>
  <c r="J7" i="83" s="1"/>
  <c r="I8" i="83"/>
  <c r="I7" i="83" s="1"/>
  <c r="H8" i="83"/>
  <c r="H7" i="83" s="1"/>
  <c r="G8" i="83"/>
  <c r="G7" i="83" s="1"/>
  <c r="F8" i="83"/>
  <c r="F7" i="83" s="1"/>
  <c r="E8" i="83"/>
  <c r="E7" i="83" s="1"/>
  <c r="D8" i="83"/>
  <c r="AG8" i="83" s="1"/>
  <c r="C8" i="83"/>
  <c r="Y7" i="83"/>
  <c r="X7" i="83"/>
  <c r="W7" i="83"/>
  <c r="M7" i="83"/>
  <c r="L7" i="83"/>
  <c r="K7" i="83"/>
  <c r="AG5" i="83"/>
  <c r="AF49" i="82"/>
  <c r="C25" i="82"/>
  <c r="AF23" i="82"/>
  <c r="AE23" i="82"/>
  <c r="AD23" i="82"/>
  <c r="AC23" i="82"/>
  <c r="AB23" i="82"/>
  <c r="AA23" i="82"/>
  <c r="Z23" i="82"/>
  <c r="Y23" i="82"/>
  <c r="X23" i="82"/>
  <c r="W23" i="82"/>
  <c r="V23" i="82"/>
  <c r="U23" i="82"/>
  <c r="T23" i="82"/>
  <c r="S23" i="82"/>
  <c r="R23" i="82"/>
  <c r="Q23" i="82"/>
  <c r="P23" i="82"/>
  <c r="O23" i="82"/>
  <c r="N23" i="82"/>
  <c r="M23" i="82"/>
  <c r="L23" i="82"/>
  <c r="K23" i="82"/>
  <c r="J23" i="82"/>
  <c r="I23" i="82"/>
  <c r="H23" i="82"/>
  <c r="G23" i="82"/>
  <c r="F23" i="82"/>
  <c r="E23" i="82"/>
  <c r="D23" i="82"/>
  <c r="AF19" i="82"/>
  <c r="AE19" i="82"/>
  <c r="AD19" i="82"/>
  <c r="AC19" i="82"/>
  <c r="AB19" i="82"/>
  <c r="AA19" i="82"/>
  <c r="Z19" i="82"/>
  <c r="Y19" i="82"/>
  <c r="X19" i="82"/>
  <c r="W19" i="82"/>
  <c r="V19" i="82"/>
  <c r="U19" i="82"/>
  <c r="T19" i="82"/>
  <c r="S19" i="82"/>
  <c r="R19" i="82"/>
  <c r="Q19" i="82"/>
  <c r="P19" i="82"/>
  <c r="O19" i="82"/>
  <c r="N19" i="82"/>
  <c r="M19" i="82"/>
  <c r="L19" i="82"/>
  <c r="K19" i="82"/>
  <c r="J19" i="82"/>
  <c r="I19" i="82"/>
  <c r="H19" i="82"/>
  <c r="G19" i="82"/>
  <c r="F19" i="82"/>
  <c r="E19" i="82"/>
  <c r="D19" i="82"/>
  <c r="C19" i="82"/>
  <c r="AF18" i="82"/>
  <c r="AE18" i="82"/>
  <c r="AD18" i="82"/>
  <c r="AC18" i="82"/>
  <c r="AB18" i="82"/>
  <c r="AA18" i="82"/>
  <c r="Z18" i="82"/>
  <c r="Y18" i="82"/>
  <c r="X18" i="82"/>
  <c r="W18" i="82"/>
  <c r="V18" i="82"/>
  <c r="U18" i="82"/>
  <c r="T18" i="82"/>
  <c r="S18" i="82"/>
  <c r="R18" i="82"/>
  <c r="Q18" i="82"/>
  <c r="P18" i="82"/>
  <c r="O18" i="82"/>
  <c r="N18" i="82"/>
  <c r="M18" i="82"/>
  <c r="L18" i="82"/>
  <c r="K18" i="82"/>
  <c r="J18" i="82"/>
  <c r="I18" i="82"/>
  <c r="H18" i="82"/>
  <c r="G18" i="82"/>
  <c r="F18" i="82"/>
  <c r="E18" i="82"/>
  <c r="D18" i="82"/>
  <c r="C18" i="82"/>
  <c r="AF14" i="82"/>
  <c r="AE14" i="82"/>
  <c r="AD14" i="82"/>
  <c r="AC14" i="82"/>
  <c r="AB14" i="82"/>
  <c r="AA14" i="82"/>
  <c r="Z14" i="82"/>
  <c r="Y14" i="82"/>
  <c r="X14" i="82"/>
  <c r="W14" i="82"/>
  <c r="V14" i="82"/>
  <c r="U14" i="82"/>
  <c r="T14" i="82"/>
  <c r="S14" i="82"/>
  <c r="R14" i="82"/>
  <c r="Q14" i="82"/>
  <c r="P14" i="82"/>
  <c r="O14" i="82"/>
  <c r="N14" i="82"/>
  <c r="M14" i="82"/>
  <c r="L14" i="82"/>
  <c r="K14" i="82"/>
  <c r="J14" i="82"/>
  <c r="I14" i="82"/>
  <c r="H14" i="82"/>
  <c r="G14" i="82"/>
  <c r="F14" i="82"/>
  <c r="E14" i="82"/>
  <c r="D14" i="82"/>
  <c r="C14" i="82"/>
  <c r="F8" i="82"/>
  <c r="E8" i="82"/>
  <c r="D8" i="82"/>
  <c r="C8" i="82"/>
  <c r="F7" i="82"/>
  <c r="E7" i="82"/>
  <c r="D7" i="82"/>
  <c r="C7" i="82"/>
  <c r="F6" i="82"/>
  <c r="E6" i="82"/>
  <c r="D6" i="82"/>
  <c r="C6" i="82"/>
  <c r="G5" i="82"/>
  <c r="F5" i="82"/>
  <c r="E5" i="82"/>
  <c r="D5" i="82"/>
  <c r="C5" i="82"/>
  <c r="F4" i="82" l="1"/>
  <c r="F12" i="82" s="1"/>
  <c r="F21" i="82" s="1"/>
  <c r="AG18" i="82"/>
  <c r="D4" i="82"/>
  <c r="D12" i="82" s="1"/>
  <c r="D21" i="82" s="1"/>
  <c r="E4" i="82"/>
  <c r="E12" i="82" s="1"/>
  <c r="E21" i="82" s="1"/>
  <c r="C11" i="83"/>
  <c r="D7" i="83"/>
  <c r="AG10" i="83"/>
  <c r="AG14" i="82"/>
  <c r="C4" i="82"/>
  <c r="AG23" i="82"/>
  <c r="AG19" i="82"/>
  <c r="C6" i="83" l="1"/>
  <c r="AG7" i="83"/>
  <c r="C12" i="82"/>
  <c r="C21" i="82" l="1"/>
  <c r="U36" i="47" l="1"/>
  <c r="B125" i="71" l="1"/>
  <c r="B117" i="71"/>
  <c r="G107" i="71"/>
  <c r="F105" i="71"/>
  <c r="F109" i="71" l="1"/>
  <c r="G5" i="61" l="1"/>
  <c r="G67" i="61" l="1"/>
  <c r="G28" i="61"/>
  <c r="M38" i="61" l="1"/>
  <c r="W5" i="57" l="1"/>
  <c r="H15" i="61" l="1"/>
  <c r="I15" i="61"/>
  <c r="J15" i="61"/>
  <c r="K15" i="61"/>
  <c r="L15" i="61"/>
  <c r="M15" i="61"/>
  <c r="N15" i="61"/>
  <c r="O15" i="61"/>
  <c r="P15" i="61"/>
  <c r="Q15" i="61"/>
  <c r="R15" i="61"/>
  <c r="S15" i="61"/>
  <c r="T15" i="61"/>
  <c r="U15" i="61"/>
  <c r="V15" i="61"/>
  <c r="W15" i="61"/>
  <c r="X15" i="61"/>
  <c r="Y15" i="61"/>
  <c r="Z15" i="61"/>
  <c r="AA15" i="61"/>
  <c r="AB15" i="61"/>
  <c r="AC15" i="61"/>
  <c r="AD15" i="61"/>
  <c r="AE15" i="61"/>
  <c r="AF15" i="61"/>
  <c r="AG15" i="61"/>
  <c r="AH15" i="61"/>
  <c r="AI15" i="61"/>
  <c r="AJ15" i="61"/>
  <c r="AK15" i="61"/>
  <c r="AL15" i="61"/>
  <c r="H22" i="61"/>
  <c r="H72" i="61" s="1"/>
  <c r="I22" i="61"/>
  <c r="I72" i="61" s="1"/>
  <c r="J22" i="61"/>
  <c r="J72" i="61" s="1"/>
  <c r="K22" i="61"/>
  <c r="K72" i="61" s="1"/>
  <c r="L22" i="61"/>
  <c r="L72" i="61" s="1"/>
  <c r="M22" i="61"/>
  <c r="M72" i="61" s="1"/>
  <c r="N22" i="61"/>
  <c r="N72" i="61" s="1"/>
  <c r="O22" i="61"/>
  <c r="O72" i="61" s="1"/>
  <c r="P22" i="61"/>
  <c r="P72" i="61" s="1"/>
  <c r="Q22" i="61"/>
  <c r="Q72" i="61" s="1"/>
  <c r="R22" i="61"/>
  <c r="R72" i="61" s="1"/>
  <c r="S22" i="61"/>
  <c r="S72" i="61" s="1"/>
  <c r="T22" i="61"/>
  <c r="T72" i="61" s="1"/>
  <c r="U22" i="61"/>
  <c r="U72" i="61" s="1"/>
  <c r="V22" i="61"/>
  <c r="V72" i="61" s="1"/>
  <c r="W22" i="61"/>
  <c r="W72" i="61" s="1"/>
  <c r="X22" i="61"/>
  <c r="X72" i="61" s="1"/>
  <c r="Y22" i="61"/>
  <c r="Y72" i="61" s="1"/>
  <c r="Z22" i="61"/>
  <c r="Z72" i="61" s="1"/>
  <c r="AA22" i="61"/>
  <c r="AA72" i="61" s="1"/>
  <c r="AB22" i="61"/>
  <c r="AB72" i="61" s="1"/>
  <c r="AC22" i="61"/>
  <c r="AC72" i="61" s="1"/>
  <c r="AD22" i="61"/>
  <c r="AD72" i="61" s="1"/>
  <c r="AE22" i="61"/>
  <c r="AE72" i="61" s="1"/>
  <c r="AF22" i="61"/>
  <c r="AF72" i="61" s="1"/>
  <c r="AG22" i="61"/>
  <c r="AG72" i="61" s="1"/>
  <c r="AH22" i="61"/>
  <c r="AH72" i="61" s="1"/>
  <c r="AI22" i="61"/>
  <c r="AI72" i="61" s="1"/>
  <c r="AJ22" i="61"/>
  <c r="AJ72" i="61" s="1"/>
  <c r="AK22" i="61"/>
  <c r="AK72" i="61" s="1"/>
  <c r="AL22" i="61"/>
  <c r="AL72" i="61" s="1"/>
  <c r="H23" i="61"/>
  <c r="I23" i="61"/>
  <c r="J23" i="61"/>
  <c r="K23" i="61"/>
  <c r="L23" i="61"/>
  <c r="M23" i="61"/>
  <c r="N23" i="61"/>
  <c r="O23" i="61"/>
  <c r="P23" i="61"/>
  <c r="Q23" i="61"/>
  <c r="R23" i="61"/>
  <c r="S23" i="61"/>
  <c r="T23" i="61"/>
  <c r="U23" i="61"/>
  <c r="V23" i="61"/>
  <c r="W23" i="61"/>
  <c r="X23" i="61"/>
  <c r="Y23" i="61"/>
  <c r="Z23" i="61"/>
  <c r="AA23" i="61"/>
  <c r="AB23" i="61"/>
  <c r="AC23" i="61"/>
  <c r="AD23" i="61"/>
  <c r="AE23" i="61"/>
  <c r="AF23" i="61"/>
  <c r="AG23" i="61"/>
  <c r="AH23" i="61"/>
  <c r="AI23" i="61"/>
  <c r="AJ23" i="61"/>
  <c r="AK23" i="61"/>
  <c r="AL23" i="61"/>
  <c r="H24" i="61"/>
  <c r="I24" i="61"/>
  <c r="D24" i="61" s="1"/>
  <c r="J24" i="61"/>
  <c r="K24" i="61"/>
  <c r="L24" i="61"/>
  <c r="M24" i="61"/>
  <c r="N24" i="61"/>
  <c r="O24" i="61"/>
  <c r="P24" i="61"/>
  <c r="Q24" i="61"/>
  <c r="R24" i="61"/>
  <c r="S24" i="61"/>
  <c r="T24" i="61"/>
  <c r="U24" i="61"/>
  <c r="V24" i="61"/>
  <c r="W24" i="61"/>
  <c r="X24" i="61"/>
  <c r="Y24" i="61"/>
  <c r="Z24" i="61"/>
  <c r="AA24" i="61"/>
  <c r="AB24" i="61"/>
  <c r="AC24" i="61"/>
  <c r="AD24" i="61"/>
  <c r="AE24" i="61"/>
  <c r="AF24" i="61"/>
  <c r="AG24" i="61"/>
  <c r="AH24" i="61"/>
  <c r="AI24" i="61"/>
  <c r="AJ24" i="61"/>
  <c r="AK24" i="61"/>
  <c r="AL24" i="61"/>
  <c r="H25" i="61"/>
  <c r="I25" i="61"/>
  <c r="J25" i="61"/>
  <c r="K25" i="61"/>
  <c r="L25" i="61"/>
  <c r="M25" i="61"/>
  <c r="N25" i="61"/>
  <c r="O25" i="61"/>
  <c r="P25" i="61"/>
  <c r="Q25" i="61"/>
  <c r="R25" i="61"/>
  <c r="S25" i="61"/>
  <c r="T25" i="61"/>
  <c r="U25" i="61"/>
  <c r="V25" i="61"/>
  <c r="W25" i="61"/>
  <c r="X25" i="61"/>
  <c r="Y25" i="61"/>
  <c r="Z25" i="61"/>
  <c r="AA25" i="61"/>
  <c r="AB25" i="61"/>
  <c r="AC25" i="61"/>
  <c r="AD25" i="61"/>
  <c r="AE25" i="61"/>
  <c r="AF25" i="61"/>
  <c r="AG25" i="61"/>
  <c r="AH25" i="61"/>
  <c r="AI25" i="61"/>
  <c r="AJ25" i="61"/>
  <c r="AK25" i="61"/>
  <c r="AL25" i="61"/>
  <c r="H27" i="61"/>
  <c r="I27" i="61"/>
  <c r="J27" i="61"/>
  <c r="K27" i="61"/>
  <c r="L27" i="61"/>
  <c r="M27" i="61"/>
  <c r="N27" i="61"/>
  <c r="O27" i="61"/>
  <c r="P27" i="61"/>
  <c r="Q27" i="61"/>
  <c r="R27" i="61"/>
  <c r="S27" i="61"/>
  <c r="T27" i="61"/>
  <c r="U27" i="61"/>
  <c r="V27" i="61"/>
  <c r="W27" i="61"/>
  <c r="X27" i="61"/>
  <c r="Y27" i="61"/>
  <c r="Z27" i="61"/>
  <c r="AA27" i="61"/>
  <c r="AB27" i="61"/>
  <c r="AC27" i="61"/>
  <c r="AD27" i="61"/>
  <c r="AE27" i="61"/>
  <c r="AF27" i="61"/>
  <c r="AG27" i="61"/>
  <c r="AH27" i="61"/>
  <c r="AI27" i="61"/>
  <c r="AJ27" i="61"/>
  <c r="AK27" i="61"/>
  <c r="AL27" i="61"/>
  <c r="H28" i="61"/>
  <c r="I28" i="61"/>
  <c r="J28" i="61"/>
  <c r="K28" i="61"/>
  <c r="L28" i="61"/>
  <c r="M28" i="61"/>
  <c r="N28" i="61"/>
  <c r="O28" i="61"/>
  <c r="P28" i="61"/>
  <c r="Q28" i="61"/>
  <c r="R28" i="61"/>
  <c r="S28" i="61"/>
  <c r="T28" i="61"/>
  <c r="U28" i="61"/>
  <c r="V28" i="61"/>
  <c r="W28" i="61"/>
  <c r="X28" i="61"/>
  <c r="Y28" i="61"/>
  <c r="Z28" i="61"/>
  <c r="AA28" i="61"/>
  <c r="AB28" i="61"/>
  <c r="AC28" i="61"/>
  <c r="AD28" i="61"/>
  <c r="AE28" i="61"/>
  <c r="AF28" i="61"/>
  <c r="AG28" i="61"/>
  <c r="AH28" i="61"/>
  <c r="AI28" i="61"/>
  <c r="AJ28" i="61"/>
  <c r="AK28" i="61"/>
  <c r="AL28" i="61"/>
  <c r="H29" i="61"/>
  <c r="I29" i="61"/>
  <c r="J29" i="61"/>
  <c r="K29" i="61"/>
  <c r="L29" i="61"/>
  <c r="M29" i="61"/>
  <c r="N29" i="61"/>
  <c r="O29" i="61"/>
  <c r="P29" i="61"/>
  <c r="Q29" i="61"/>
  <c r="R29" i="61"/>
  <c r="S29" i="61"/>
  <c r="T29" i="61"/>
  <c r="U29" i="61"/>
  <c r="V29" i="61"/>
  <c r="W29" i="61"/>
  <c r="X29" i="61"/>
  <c r="Y29" i="61"/>
  <c r="Z29" i="61"/>
  <c r="AA29" i="61"/>
  <c r="AB29" i="61"/>
  <c r="AC29" i="61"/>
  <c r="AD29" i="61"/>
  <c r="AE29" i="61"/>
  <c r="AF29" i="61"/>
  <c r="AG29" i="61"/>
  <c r="AH29" i="61"/>
  <c r="AI29" i="61"/>
  <c r="AJ29" i="61"/>
  <c r="AK29" i="61"/>
  <c r="AL29" i="61"/>
  <c r="H30" i="61"/>
  <c r="I30" i="61"/>
  <c r="J30" i="61"/>
  <c r="K30" i="61"/>
  <c r="L30" i="61"/>
  <c r="M30" i="61"/>
  <c r="N30" i="61"/>
  <c r="O30" i="61"/>
  <c r="P30" i="61"/>
  <c r="Q30" i="61"/>
  <c r="R30" i="61"/>
  <c r="S30" i="61"/>
  <c r="T30" i="61"/>
  <c r="U30" i="61"/>
  <c r="V30" i="61"/>
  <c r="W30" i="61"/>
  <c r="X30" i="61"/>
  <c r="Y30" i="61"/>
  <c r="Z30" i="61"/>
  <c r="AA30" i="61"/>
  <c r="AB30" i="61"/>
  <c r="AC30" i="61"/>
  <c r="AD30" i="61"/>
  <c r="AE30" i="61"/>
  <c r="AF30" i="61"/>
  <c r="AG30" i="61"/>
  <c r="AH30" i="61"/>
  <c r="AI30" i="61"/>
  <c r="AJ30" i="61"/>
  <c r="AK30" i="61"/>
  <c r="AL30" i="61"/>
  <c r="H31" i="61"/>
  <c r="I31" i="61"/>
  <c r="J31" i="61"/>
  <c r="K31" i="61"/>
  <c r="L31" i="61"/>
  <c r="M31" i="61"/>
  <c r="N31" i="61"/>
  <c r="O31" i="61"/>
  <c r="P31" i="61"/>
  <c r="Q31" i="61"/>
  <c r="R31" i="61"/>
  <c r="S31" i="61"/>
  <c r="T31" i="61"/>
  <c r="U31" i="61"/>
  <c r="V31" i="61"/>
  <c r="W31" i="61"/>
  <c r="X31" i="61"/>
  <c r="Y31" i="61"/>
  <c r="Z31" i="61"/>
  <c r="AA31" i="61"/>
  <c r="AB31" i="61"/>
  <c r="AC31" i="61"/>
  <c r="AD31" i="61"/>
  <c r="AE31" i="61"/>
  <c r="AF31" i="61"/>
  <c r="AG31" i="61"/>
  <c r="AH31" i="61"/>
  <c r="AI31" i="61"/>
  <c r="AJ31" i="61"/>
  <c r="AK31" i="61"/>
  <c r="AL31" i="61"/>
  <c r="H33" i="61"/>
  <c r="I33" i="61"/>
  <c r="J33" i="61"/>
  <c r="K33" i="61"/>
  <c r="K71" i="61" s="1"/>
  <c r="L33" i="61"/>
  <c r="M33" i="61"/>
  <c r="N33" i="61"/>
  <c r="O33" i="61"/>
  <c r="O71" i="61" s="1"/>
  <c r="P33" i="61"/>
  <c r="Q33" i="61"/>
  <c r="R33" i="61"/>
  <c r="S33" i="61"/>
  <c r="S71" i="61" s="1"/>
  <c r="T33" i="61"/>
  <c r="U33" i="61"/>
  <c r="V33" i="61"/>
  <c r="W33" i="61"/>
  <c r="W71" i="61" s="1"/>
  <c r="X33" i="61"/>
  <c r="Y33" i="61"/>
  <c r="Z33" i="61"/>
  <c r="AA33" i="61"/>
  <c r="AA71" i="61" s="1"/>
  <c r="AB33" i="61"/>
  <c r="AC33" i="61"/>
  <c r="AD33" i="61"/>
  <c r="AE33" i="61"/>
  <c r="AE71" i="61" s="1"/>
  <c r="AF33" i="61"/>
  <c r="AG33" i="61"/>
  <c r="AH33" i="61"/>
  <c r="AI33" i="61"/>
  <c r="AI71" i="61" s="1"/>
  <c r="AJ33" i="61"/>
  <c r="AK33" i="61"/>
  <c r="AL33" i="61"/>
  <c r="H34" i="61"/>
  <c r="I34" i="61"/>
  <c r="J34" i="61"/>
  <c r="K34" i="61"/>
  <c r="L34" i="61"/>
  <c r="M34" i="61"/>
  <c r="N34" i="61"/>
  <c r="O34" i="61"/>
  <c r="P34" i="61"/>
  <c r="Q34" i="61"/>
  <c r="R34" i="61"/>
  <c r="S34" i="61"/>
  <c r="T34" i="61"/>
  <c r="U34" i="61"/>
  <c r="V34" i="61"/>
  <c r="W34" i="61"/>
  <c r="X34" i="61"/>
  <c r="Y34" i="61"/>
  <c r="Z34" i="61"/>
  <c r="AA34" i="61"/>
  <c r="AB34" i="61"/>
  <c r="AC34" i="61"/>
  <c r="AD34" i="61"/>
  <c r="AE34" i="61"/>
  <c r="AF34" i="61"/>
  <c r="AG34" i="61"/>
  <c r="AH34" i="61"/>
  <c r="AI34" i="61"/>
  <c r="AJ34" i="61"/>
  <c r="AK34" i="61"/>
  <c r="AL34" i="61"/>
  <c r="H35" i="61"/>
  <c r="I35" i="61"/>
  <c r="J35" i="61"/>
  <c r="K35" i="61"/>
  <c r="L35" i="61"/>
  <c r="M35" i="61"/>
  <c r="N35" i="61"/>
  <c r="O35" i="61"/>
  <c r="P35" i="61"/>
  <c r="Q35" i="61"/>
  <c r="R35" i="61"/>
  <c r="S35" i="61"/>
  <c r="T35" i="61"/>
  <c r="U35" i="61"/>
  <c r="V35" i="61"/>
  <c r="W35" i="61"/>
  <c r="X35" i="61"/>
  <c r="Y35" i="61"/>
  <c r="Z35" i="61"/>
  <c r="AA35" i="61"/>
  <c r="AB35" i="61"/>
  <c r="AC35" i="61"/>
  <c r="AD35" i="61"/>
  <c r="AE35" i="61"/>
  <c r="AF35" i="61"/>
  <c r="AG35" i="61"/>
  <c r="AH35" i="61"/>
  <c r="AI35" i="61"/>
  <c r="AJ35" i="61"/>
  <c r="AK35" i="61"/>
  <c r="AL35" i="61"/>
  <c r="H36" i="61"/>
  <c r="I36" i="61"/>
  <c r="J36" i="61"/>
  <c r="K36" i="61"/>
  <c r="L36" i="61"/>
  <c r="M36" i="61"/>
  <c r="N36" i="61"/>
  <c r="O36" i="61"/>
  <c r="P36" i="61"/>
  <c r="Q36" i="61"/>
  <c r="R36" i="61"/>
  <c r="S36" i="61"/>
  <c r="T36" i="61"/>
  <c r="U36" i="61"/>
  <c r="V36" i="61"/>
  <c r="W36" i="61"/>
  <c r="X36" i="61"/>
  <c r="Y36" i="61"/>
  <c r="Z36" i="61"/>
  <c r="AA36" i="61"/>
  <c r="AB36" i="61"/>
  <c r="AC36" i="61"/>
  <c r="AD36" i="61"/>
  <c r="AE36" i="61"/>
  <c r="AF36" i="61"/>
  <c r="AG36" i="61"/>
  <c r="AH36" i="61"/>
  <c r="AI36" i="61"/>
  <c r="AJ36" i="61"/>
  <c r="AK36" i="61"/>
  <c r="AL36" i="61"/>
  <c r="H37" i="61"/>
  <c r="I37" i="61"/>
  <c r="J37" i="61"/>
  <c r="K37" i="61"/>
  <c r="L37" i="61"/>
  <c r="M37" i="61"/>
  <c r="N37" i="61"/>
  <c r="O37" i="61"/>
  <c r="P37" i="61"/>
  <c r="Q37" i="61"/>
  <c r="R37" i="61"/>
  <c r="S37" i="61"/>
  <c r="T37" i="61"/>
  <c r="U37" i="61"/>
  <c r="V37" i="61"/>
  <c r="W37" i="61"/>
  <c r="X37" i="61"/>
  <c r="Y37" i="61"/>
  <c r="Z37" i="61"/>
  <c r="AA37" i="61"/>
  <c r="AB37" i="61"/>
  <c r="AC37" i="61"/>
  <c r="AD37" i="61"/>
  <c r="AE37" i="61"/>
  <c r="AF37" i="61"/>
  <c r="AG37" i="61"/>
  <c r="AH37" i="61"/>
  <c r="AI37" i="61"/>
  <c r="AJ37" i="61"/>
  <c r="AK37" i="61"/>
  <c r="AL37" i="61"/>
  <c r="H38" i="61"/>
  <c r="I38" i="61"/>
  <c r="J38" i="61"/>
  <c r="K38" i="61"/>
  <c r="N38" i="61"/>
  <c r="O38" i="61"/>
  <c r="P38" i="61"/>
  <c r="Q38" i="61"/>
  <c r="R38" i="61"/>
  <c r="S38" i="61"/>
  <c r="T38" i="61"/>
  <c r="U38" i="61"/>
  <c r="V38" i="61"/>
  <c r="W38" i="61"/>
  <c r="X38" i="61"/>
  <c r="Y38" i="61"/>
  <c r="Z38" i="61"/>
  <c r="AA38" i="61"/>
  <c r="AB38" i="61"/>
  <c r="AC38" i="61"/>
  <c r="AD38" i="61"/>
  <c r="AE38" i="61"/>
  <c r="AF38" i="61"/>
  <c r="AG38" i="61"/>
  <c r="AH38" i="61"/>
  <c r="AI38" i="61"/>
  <c r="AJ38" i="61"/>
  <c r="AK38" i="61"/>
  <c r="AL38" i="61"/>
  <c r="H39" i="61"/>
  <c r="I39" i="61"/>
  <c r="J39" i="61"/>
  <c r="K39" i="61"/>
  <c r="L39" i="61"/>
  <c r="M39" i="61"/>
  <c r="N39" i="61"/>
  <c r="O39" i="61"/>
  <c r="P39" i="61"/>
  <c r="Q39" i="61"/>
  <c r="R39" i="61"/>
  <c r="S39" i="61"/>
  <c r="T39" i="61"/>
  <c r="U39" i="61"/>
  <c r="V39" i="61"/>
  <c r="W39" i="61"/>
  <c r="X39" i="61"/>
  <c r="Y39" i="61"/>
  <c r="Z39" i="61"/>
  <c r="AA39" i="61"/>
  <c r="AB39" i="61"/>
  <c r="AC39" i="61"/>
  <c r="AD39" i="61"/>
  <c r="AE39" i="61"/>
  <c r="AF39" i="61"/>
  <c r="AG39" i="61"/>
  <c r="AH39" i="61"/>
  <c r="AI39" i="61"/>
  <c r="AJ39" i="61"/>
  <c r="AK39" i="61"/>
  <c r="AL39" i="61"/>
  <c r="H41" i="61"/>
  <c r="I41" i="61"/>
  <c r="J41" i="61"/>
  <c r="K41" i="61"/>
  <c r="L41" i="61"/>
  <c r="M41" i="61"/>
  <c r="N41" i="61"/>
  <c r="O41" i="61"/>
  <c r="P41" i="61"/>
  <c r="Q41" i="61"/>
  <c r="R41" i="61"/>
  <c r="S41" i="61"/>
  <c r="T41" i="61"/>
  <c r="U41" i="61"/>
  <c r="V41" i="61"/>
  <c r="W41" i="61"/>
  <c r="X41" i="61"/>
  <c r="Y41" i="61"/>
  <c r="Z41" i="61"/>
  <c r="AA41" i="61"/>
  <c r="AB41" i="61"/>
  <c r="AC41" i="61"/>
  <c r="AD41" i="61"/>
  <c r="AE41" i="61"/>
  <c r="AF41" i="61"/>
  <c r="AG41" i="61"/>
  <c r="AH41" i="61"/>
  <c r="AI41" i="61"/>
  <c r="AJ41" i="61"/>
  <c r="AK41" i="61"/>
  <c r="AL41" i="61"/>
  <c r="H42" i="61"/>
  <c r="I42" i="61"/>
  <c r="J42" i="61"/>
  <c r="K42" i="61"/>
  <c r="L42" i="61"/>
  <c r="M42" i="61"/>
  <c r="N42" i="61"/>
  <c r="O42" i="61"/>
  <c r="P42" i="61"/>
  <c r="Q42" i="61"/>
  <c r="R42" i="61"/>
  <c r="S42" i="61"/>
  <c r="T42" i="61"/>
  <c r="U42" i="61"/>
  <c r="V42" i="61"/>
  <c r="W42" i="61"/>
  <c r="X42" i="61"/>
  <c r="Y42" i="61"/>
  <c r="Z42" i="61"/>
  <c r="AA42" i="61"/>
  <c r="AB42" i="61"/>
  <c r="AC42" i="61"/>
  <c r="AD42" i="61"/>
  <c r="AE42" i="61"/>
  <c r="AF42" i="61"/>
  <c r="AG42" i="61"/>
  <c r="AH42" i="61"/>
  <c r="AI42" i="61"/>
  <c r="AJ42" i="61"/>
  <c r="AK42" i="61"/>
  <c r="AL42" i="61"/>
  <c r="H43" i="61"/>
  <c r="I43" i="61"/>
  <c r="J43" i="61"/>
  <c r="K43" i="61"/>
  <c r="L43" i="61"/>
  <c r="M43" i="61"/>
  <c r="N43" i="61"/>
  <c r="O43" i="61"/>
  <c r="P43" i="61"/>
  <c r="Q43" i="61"/>
  <c r="R43" i="61"/>
  <c r="S43" i="61"/>
  <c r="T43" i="61"/>
  <c r="U43" i="61"/>
  <c r="V43" i="61"/>
  <c r="W43" i="61"/>
  <c r="X43" i="61"/>
  <c r="Y43" i="61"/>
  <c r="Z43" i="61"/>
  <c r="AA43" i="61"/>
  <c r="AB43" i="61"/>
  <c r="AC43" i="61"/>
  <c r="AD43" i="61"/>
  <c r="AE43" i="61"/>
  <c r="AF43" i="61"/>
  <c r="AG43" i="61"/>
  <c r="AH43" i="61"/>
  <c r="AI43" i="61"/>
  <c r="AJ43" i="61"/>
  <c r="AK43" i="61"/>
  <c r="AL43" i="61"/>
  <c r="H44" i="61"/>
  <c r="I44" i="61"/>
  <c r="J44" i="61"/>
  <c r="K44" i="61"/>
  <c r="L44" i="61"/>
  <c r="M44" i="61"/>
  <c r="N44" i="61"/>
  <c r="O44" i="61"/>
  <c r="P44" i="61"/>
  <c r="Q44" i="61"/>
  <c r="R44" i="61"/>
  <c r="S44" i="61"/>
  <c r="T44" i="61"/>
  <c r="U44" i="61"/>
  <c r="V44" i="61"/>
  <c r="W44" i="61"/>
  <c r="X44" i="61"/>
  <c r="Y44" i="61"/>
  <c r="Z44" i="61"/>
  <c r="AA44" i="61"/>
  <c r="AB44" i="61"/>
  <c r="AC44" i="61"/>
  <c r="AD44" i="61"/>
  <c r="AE44" i="61"/>
  <c r="AF44" i="61"/>
  <c r="AG44" i="61"/>
  <c r="AH44" i="61"/>
  <c r="AI44" i="61"/>
  <c r="AJ44" i="61"/>
  <c r="AK44" i="61"/>
  <c r="AL44" i="61"/>
  <c r="H47" i="61"/>
  <c r="I47" i="61"/>
  <c r="J47" i="61"/>
  <c r="K47" i="61"/>
  <c r="L47" i="61"/>
  <c r="M47" i="61"/>
  <c r="N47" i="61"/>
  <c r="O47" i="61"/>
  <c r="P47" i="61"/>
  <c r="Q47" i="61"/>
  <c r="R47" i="61"/>
  <c r="S47" i="61"/>
  <c r="T47" i="61"/>
  <c r="U47" i="61"/>
  <c r="V47" i="61"/>
  <c r="W47" i="61"/>
  <c r="X47" i="61"/>
  <c r="Y47" i="61"/>
  <c r="Z47" i="61"/>
  <c r="AA47" i="61"/>
  <c r="AB47" i="61"/>
  <c r="AC47" i="61"/>
  <c r="AD47" i="61"/>
  <c r="AE47" i="61"/>
  <c r="AF47" i="61"/>
  <c r="AG47" i="61"/>
  <c r="AH47" i="61"/>
  <c r="AI47" i="61"/>
  <c r="AJ47" i="61"/>
  <c r="AK47" i="61"/>
  <c r="AL47" i="61"/>
  <c r="H52" i="61"/>
  <c r="I52" i="61"/>
  <c r="J52" i="61"/>
  <c r="K52" i="61"/>
  <c r="L52" i="61"/>
  <c r="M52" i="61"/>
  <c r="N52" i="61"/>
  <c r="O52" i="61"/>
  <c r="P52" i="61"/>
  <c r="Q52" i="61"/>
  <c r="R52" i="61"/>
  <c r="S52" i="61"/>
  <c r="T52" i="61"/>
  <c r="U52" i="61"/>
  <c r="V52" i="61"/>
  <c r="W52" i="61"/>
  <c r="X52" i="61"/>
  <c r="Y52" i="61"/>
  <c r="Z52" i="61"/>
  <c r="AA52" i="61"/>
  <c r="AB52" i="61"/>
  <c r="AC52" i="61"/>
  <c r="AD52" i="61"/>
  <c r="AE52" i="61"/>
  <c r="AF52" i="61"/>
  <c r="AG52" i="61"/>
  <c r="AH52" i="61"/>
  <c r="AI52" i="61"/>
  <c r="AJ52" i="61"/>
  <c r="AK52" i="61"/>
  <c r="AL52" i="61"/>
  <c r="H58" i="61"/>
  <c r="I58" i="61"/>
  <c r="J58" i="61"/>
  <c r="K58" i="61"/>
  <c r="L58" i="61"/>
  <c r="M58" i="61"/>
  <c r="N58" i="61"/>
  <c r="O58" i="61"/>
  <c r="P58" i="61"/>
  <c r="Q58" i="61"/>
  <c r="R58" i="61"/>
  <c r="S58" i="61"/>
  <c r="T58" i="61"/>
  <c r="U58" i="61"/>
  <c r="V58" i="61"/>
  <c r="W58" i="61"/>
  <c r="X58" i="61"/>
  <c r="Y58" i="61"/>
  <c r="Z58" i="61"/>
  <c r="AA58" i="61"/>
  <c r="AB58" i="61"/>
  <c r="AC58" i="61"/>
  <c r="AD58" i="61"/>
  <c r="AE58" i="61"/>
  <c r="AF58" i="61"/>
  <c r="AG58" i="61"/>
  <c r="AH58" i="61"/>
  <c r="AI58" i="61"/>
  <c r="AJ58" i="61"/>
  <c r="AK58" i="61"/>
  <c r="AL58" i="61"/>
  <c r="H67" i="61"/>
  <c r="I67" i="61"/>
  <c r="J67" i="61"/>
  <c r="K67" i="61"/>
  <c r="L67" i="61"/>
  <c r="M67" i="61"/>
  <c r="N67" i="61"/>
  <c r="O67" i="61"/>
  <c r="P67" i="61"/>
  <c r="Q67" i="61"/>
  <c r="R67" i="61"/>
  <c r="S67" i="61"/>
  <c r="T67" i="61"/>
  <c r="U67" i="61"/>
  <c r="V67" i="61"/>
  <c r="W67" i="61"/>
  <c r="X67" i="61"/>
  <c r="Y67" i="61"/>
  <c r="Z67" i="61"/>
  <c r="AA67" i="61"/>
  <c r="AB67" i="61"/>
  <c r="AC67" i="61"/>
  <c r="AD67" i="61"/>
  <c r="AE67" i="61"/>
  <c r="AF67" i="61"/>
  <c r="AG67" i="61"/>
  <c r="AH67" i="61"/>
  <c r="AI67" i="61"/>
  <c r="AJ67" i="61"/>
  <c r="AK67" i="61"/>
  <c r="AL67" i="61"/>
  <c r="H18" i="61"/>
  <c r="J18" i="61"/>
  <c r="K18" i="61"/>
  <c r="L18" i="61"/>
  <c r="M18" i="61"/>
  <c r="N18" i="61"/>
  <c r="O18" i="61"/>
  <c r="P18" i="61"/>
  <c r="Q18" i="61"/>
  <c r="R18" i="61"/>
  <c r="S18" i="61"/>
  <c r="T18" i="61"/>
  <c r="U18" i="61"/>
  <c r="V18" i="61"/>
  <c r="W18" i="61"/>
  <c r="X18" i="61"/>
  <c r="Y18" i="61"/>
  <c r="Z18" i="61"/>
  <c r="AA18" i="61"/>
  <c r="AB18" i="61"/>
  <c r="AC18" i="61"/>
  <c r="AD18" i="61"/>
  <c r="AE18" i="61"/>
  <c r="AF18" i="61"/>
  <c r="AG18" i="61"/>
  <c r="AH18" i="61"/>
  <c r="AI18" i="61"/>
  <c r="AJ18" i="61"/>
  <c r="AK18" i="61"/>
  <c r="AL18" i="61"/>
  <c r="H19" i="61"/>
  <c r="J19" i="61"/>
  <c r="K19" i="61"/>
  <c r="L19" i="61"/>
  <c r="M19" i="61"/>
  <c r="N19" i="61"/>
  <c r="O19" i="61"/>
  <c r="P19" i="61"/>
  <c r="Q19" i="61"/>
  <c r="R19" i="61"/>
  <c r="S19" i="61"/>
  <c r="T19" i="61"/>
  <c r="U19" i="61"/>
  <c r="V19" i="61"/>
  <c r="W19" i="61"/>
  <c r="X19" i="61"/>
  <c r="Y19" i="61"/>
  <c r="Z19" i="61"/>
  <c r="AA19" i="61"/>
  <c r="AB19" i="61"/>
  <c r="AC19" i="61"/>
  <c r="AD19" i="61"/>
  <c r="AE19" i="61"/>
  <c r="AF19" i="61"/>
  <c r="AG19" i="61"/>
  <c r="AH19" i="61"/>
  <c r="AI19" i="61"/>
  <c r="AJ19" i="61"/>
  <c r="AK19" i="61"/>
  <c r="AL19" i="61"/>
  <c r="H20" i="61"/>
  <c r="I20" i="61"/>
  <c r="J20" i="61"/>
  <c r="K20" i="61"/>
  <c r="M20" i="61"/>
  <c r="N20" i="61"/>
  <c r="O20" i="61"/>
  <c r="P20" i="61"/>
  <c r="Q20" i="61"/>
  <c r="R20" i="61"/>
  <c r="S20" i="61"/>
  <c r="T20" i="61"/>
  <c r="U20" i="61"/>
  <c r="V20" i="61"/>
  <c r="W20" i="61"/>
  <c r="X20" i="61"/>
  <c r="Y20" i="61"/>
  <c r="Z20" i="61"/>
  <c r="AA20" i="61"/>
  <c r="AB20" i="61"/>
  <c r="AC20" i="61"/>
  <c r="AD20" i="61"/>
  <c r="AE20" i="61"/>
  <c r="AF20" i="61"/>
  <c r="AG20" i="61"/>
  <c r="AH20" i="61"/>
  <c r="AI20" i="61"/>
  <c r="AJ20" i="61"/>
  <c r="AK20" i="61"/>
  <c r="AL20" i="61"/>
  <c r="G37" i="61"/>
  <c r="H4" i="61"/>
  <c r="J4" i="61"/>
  <c r="K4" i="61"/>
  <c r="L4" i="61"/>
  <c r="M4" i="61"/>
  <c r="N4" i="61"/>
  <c r="O4" i="61"/>
  <c r="P4" i="61"/>
  <c r="Q4" i="61"/>
  <c r="R4" i="61"/>
  <c r="S4" i="61"/>
  <c r="T4" i="61"/>
  <c r="U4" i="61"/>
  <c r="V4" i="61"/>
  <c r="W4" i="61"/>
  <c r="X4" i="61"/>
  <c r="Y4" i="61"/>
  <c r="Z4" i="61"/>
  <c r="AA4" i="61"/>
  <c r="AB4" i="61"/>
  <c r="AC4" i="61"/>
  <c r="AD4" i="61"/>
  <c r="AE4" i="61"/>
  <c r="AF4" i="61"/>
  <c r="AG4" i="61"/>
  <c r="AH4" i="61"/>
  <c r="AI4" i="61"/>
  <c r="AJ4" i="61"/>
  <c r="AK4" i="61"/>
  <c r="AL4" i="61"/>
  <c r="H5" i="61"/>
  <c r="J5" i="61"/>
  <c r="K5" i="61"/>
  <c r="L5" i="61"/>
  <c r="M5" i="61"/>
  <c r="N5" i="61"/>
  <c r="O5" i="61"/>
  <c r="P5" i="61"/>
  <c r="Q5" i="61"/>
  <c r="R5" i="61"/>
  <c r="S5" i="61"/>
  <c r="T5" i="61"/>
  <c r="U5" i="61"/>
  <c r="V5" i="61"/>
  <c r="W5" i="61"/>
  <c r="X5" i="61"/>
  <c r="Y5" i="61"/>
  <c r="Z5" i="61"/>
  <c r="AA5" i="61"/>
  <c r="AB5" i="61"/>
  <c r="AC5" i="61"/>
  <c r="AD5" i="61"/>
  <c r="AE5" i="61"/>
  <c r="AF5" i="61"/>
  <c r="AG5" i="61"/>
  <c r="AH5" i="61"/>
  <c r="AI5" i="61"/>
  <c r="AJ5" i="61"/>
  <c r="AK5" i="61"/>
  <c r="AL5" i="61"/>
  <c r="H6" i="61"/>
  <c r="J6" i="61"/>
  <c r="K6" i="61"/>
  <c r="L6" i="61"/>
  <c r="M6" i="61"/>
  <c r="N6" i="61"/>
  <c r="O6" i="61"/>
  <c r="P6" i="61"/>
  <c r="Q6" i="61"/>
  <c r="R6" i="61"/>
  <c r="S6" i="61"/>
  <c r="T6" i="61"/>
  <c r="U6" i="61"/>
  <c r="V6" i="61"/>
  <c r="W6" i="61"/>
  <c r="X6" i="61"/>
  <c r="Y6" i="61"/>
  <c r="Z6" i="61"/>
  <c r="AA6" i="61"/>
  <c r="AB6" i="61"/>
  <c r="AC6" i="61"/>
  <c r="AD6" i="61"/>
  <c r="AE6" i="61"/>
  <c r="AF6" i="61"/>
  <c r="AG6" i="61"/>
  <c r="AH6" i="61"/>
  <c r="AI6" i="61"/>
  <c r="AJ6" i="61"/>
  <c r="AK6" i="61"/>
  <c r="AL6" i="61"/>
  <c r="H7" i="61"/>
  <c r="J7" i="61"/>
  <c r="K7" i="61"/>
  <c r="L7" i="61"/>
  <c r="M7" i="61"/>
  <c r="N7" i="61"/>
  <c r="O7" i="61"/>
  <c r="P7" i="61"/>
  <c r="Q7" i="61"/>
  <c r="R7" i="61"/>
  <c r="S7" i="61"/>
  <c r="T7" i="61"/>
  <c r="U7" i="61"/>
  <c r="V7" i="61"/>
  <c r="W7" i="61"/>
  <c r="X7" i="61"/>
  <c r="Y7" i="61"/>
  <c r="Z7" i="61"/>
  <c r="AA7" i="61"/>
  <c r="AB7" i="61"/>
  <c r="AC7" i="61"/>
  <c r="AD7" i="61"/>
  <c r="AE7" i="61"/>
  <c r="AF7" i="61"/>
  <c r="AG7" i="61"/>
  <c r="AH7" i="61"/>
  <c r="AI7" i="61"/>
  <c r="AJ7" i="61"/>
  <c r="AK7" i="61"/>
  <c r="AL7" i="61"/>
  <c r="H8" i="61"/>
  <c r="J8" i="61"/>
  <c r="K8" i="61"/>
  <c r="L8" i="61"/>
  <c r="M8" i="61"/>
  <c r="N8" i="61"/>
  <c r="O8" i="61"/>
  <c r="P8" i="61"/>
  <c r="Q8" i="61"/>
  <c r="R8" i="61"/>
  <c r="S8" i="61"/>
  <c r="T8" i="61"/>
  <c r="U8" i="61"/>
  <c r="V8" i="61"/>
  <c r="W8" i="61"/>
  <c r="X8" i="61"/>
  <c r="Y8" i="61"/>
  <c r="Z8" i="61"/>
  <c r="AA8" i="61"/>
  <c r="AB8" i="61"/>
  <c r="AC8" i="61"/>
  <c r="AD8" i="61"/>
  <c r="AE8" i="61"/>
  <c r="AF8" i="61"/>
  <c r="AG8" i="61"/>
  <c r="AH8" i="61"/>
  <c r="AI8" i="61"/>
  <c r="AJ8" i="61"/>
  <c r="AK8" i="61"/>
  <c r="AL8" i="61"/>
  <c r="H9" i="61"/>
  <c r="J9" i="61"/>
  <c r="K9" i="61"/>
  <c r="L9" i="61"/>
  <c r="M9" i="61"/>
  <c r="N9" i="61"/>
  <c r="O9" i="61"/>
  <c r="P9" i="61"/>
  <c r="Q9" i="61"/>
  <c r="R9" i="61"/>
  <c r="S9" i="61"/>
  <c r="T9" i="61"/>
  <c r="U9" i="61"/>
  <c r="V9" i="61"/>
  <c r="W9" i="61"/>
  <c r="X9" i="61"/>
  <c r="Y9" i="61"/>
  <c r="Z9" i="61"/>
  <c r="AA9" i="61"/>
  <c r="AB9" i="61"/>
  <c r="AC9" i="61"/>
  <c r="AD9" i="61"/>
  <c r="AE9" i="61"/>
  <c r="AF9" i="61"/>
  <c r="AG9" i="61"/>
  <c r="AH9" i="61"/>
  <c r="AI9" i="61"/>
  <c r="AJ9" i="61"/>
  <c r="AK9" i="61"/>
  <c r="AL9" i="61"/>
  <c r="H10" i="61"/>
  <c r="J10" i="61"/>
  <c r="K10" i="61"/>
  <c r="L10" i="61"/>
  <c r="M10" i="61"/>
  <c r="N10" i="61"/>
  <c r="O10" i="61"/>
  <c r="P10" i="61"/>
  <c r="Q10" i="61"/>
  <c r="R10" i="61"/>
  <c r="S10" i="61"/>
  <c r="T10" i="61"/>
  <c r="U10" i="61"/>
  <c r="V10" i="61"/>
  <c r="W10" i="61"/>
  <c r="X10" i="61"/>
  <c r="Y10" i="61"/>
  <c r="Z10" i="61"/>
  <c r="AA10" i="61"/>
  <c r="AB10" i="61"/>
  <c r="AC10" i="61"/>
  <c r="AD10" i="61"/>
  <c r="AE10" i="61"/>
  <c r="AF10" i="61"/>
  <c r="AG10" i="61"/>
  <c r="AH10" i="61"/>
  <c r="AI10" i="61"/>
  <c r="AJ10" i="61"/>
  <c r="AK10" i="61"/>
  <c r="AL10" i="61"/>
  <c r="H11" i="61"/>
  <c r="J11" i="61"/>
  <c r="K11" i="61"/>
  <c r="L11" i="61"/>
  <c r="M11" i="61"/>
  <c r="N11" i="61"/>
  <c r="O11" i="61"/>
  <c r="P11" i="61"/>
  <c r="Q11" i="61"/>
  <c r="R11" i="61"/>
  <c r="S11" i="61"/>
  <c r="T11" i="61"/>
  <c r="U11" i="61"/>
  <c r="V11" i="61"/>
  <c r="W11" i="61"/>
  <c r="X11" i="61"/>
  <c r="Y11" i="61"/>
  <c r="Z11" i="61"/>
  <c r="AA11" i="61"/>
  <c r="AB11" i="61"/>
  <c r="AC11" i="61"/>
  <c r="AD11" i="61"/>
  <c r="AE11" i="61"/>
  <c r="AF11" i="61"/>
  <c r="AG11" i="61"/>
  <c r="AH11" i="61"/>
  <c r="AI11" i="61"/>
  <c r="AJ11" i="61"/>
  <c r="AK11" i="61"/>
  <c r="AL11" i="61"/>
  <c r="H12" i="61"/>
  <c r="J12" i="61"/>
  <c r="K12" i="61"/>
  <c r="L12" i="61"/>
  <c r="M12" i="61"/>
  <c r="N12" i="61"/>
  <c r="O12" i="61"/>
  <c r="P12" i="61"/>
  <c r="Q12" i="61"/>
  <c r="R12" i="61"/>
  <c r="S12" i="61"/>
  <c r="T12" i="61"/>
  <c r="U12" i="61"/>
  <c r="V12" i="61"/>
  <c r="W12" i="61"/>
  <c r="X12" i="61"/>
  <c r="Y12" i="61"/>
  <c r="Z12" i="61"/>
  <c r="AA12" i="61"/>
  <c r="AB12" i="61"/>
  <c r="AC12" i="61"/>
  <c r="AD12" i="61"/>
  <c r="AE12" i="61"/>
  <c r="AF12" i="61"/>
  <c r="AG12" i="61"/>
  <c r="AH12" i="61"/>
  <c r="AI12" i="61"/>
  <c r="AJ12" i="61"/>
  <c r="AK12" i="61"/>
  <c r="AL12" i="61"/>
  <c r="AN74" i="61"/>
  <c r="AN69" i="61"/>
  <c r="AN68" i="61"/>
  <c r="AN66" i="61"/>
  <c r="AN65" i="61"/>
  <c r="AN64" i="61"/>
  <c r="AN63" i="61"/>
  <c r="AN62" i="61"/>
  <c r="AN61" i="61"/>
  <c r="AN60" i="61"/>
  <c r="AN59" i="61"/>
  <c r="G58" i="61"/>
  <c r="AN57" i="61"/>
  <c r="AN56" i="61"/>
  <c r="AN55" i="61"/>
  <c r="AN54" i="61"/>
  <c r="AN53" i="61"/>
  <c r="G52" i="61"/>
  <c r="AN51" i="61"/>
  <c r="AN50" i="61"/>
  <c r="AN49" i="61"/>
  <c r="AN48" i="61"/>
  <c r="G47" i="61"/>
  <c r="AN46" i="61"/>
  <c r="AN45" i="61"/>
  <c r="AN17" i="61"/>
  <c r="AN16" i="61"/>
  <c r="G15" i="61"/>
  <c r="AN14" i="61"/>
  <c r="AN13" i="61"/>
  <c r="H71" i="61" l="1"/>
  <c r="AN58" i="61"/>
  <c r="J70" i="61"/>
  <c r="AN15" i="61"/>
  <c r="AK71" i="61"/>
  <c r="AG71" i="61"/>
  <c r="AC71" i="61"/>
  <c r="Y71" i="61"/>
  <c r="U71" i="61"/>
  <c r="Q71" i="61"/>
  <c r="M71" i="61"/>
  <c r="AN47" i="61"/>
  <c r="K70" i="61"/>
  <c r="AL71" i="61"/>
  <c r="AJ71" i="61"/>
  <c r="AH71" i="61"/>
  <c r="AF71" i="61"/>
  <c r="AD71" i="61"/>
  <c r="AB71" i="61"/>
  <c r="Z71" i="61"/>
  <c r="X71" i="61"/>
  <c r="V71" i="61"/>
  <c r="T71" i="61"/>
  <c r="R71" i="61"/>
  <c r="P71" i="61"/>
  <c r="N71" i="61"/>
  <c r="L71" i="61"/>
  <c r="J71" i="61"/>
  <c r="AK70" i="61"/>
  <c r="AI70" i="61"/>
  <c r="AG70" i="61"/>
  <c r="AE70" i="61"/>
  <c r="AC70" i="61"/>
  <c r="AA70" i="61"/>
  <c r="Y70" i="61"/>
  <c r="W70" i="61"/>
  <c r="U70" i="61"/>
  <c r="S70" i="61"/>
  <c r="Q70" i="61"/>
  <c r="O70" i="61"/>
  <c r="M70" i="61"/>
  <c r="I71" i="61"/>
  <c r="AL70" i="61"/>
  <c r="AJ70" i="61"/>
  <c r="AH70" i="61"/>
  <c r="AF70" i="61"/>
  <c r="AD70" i="61"/>
  <c r="AB70" i="61"/>
  <c r="Z70" i="61"/>
  <c r="X70" i="61"/>
  <c r="V70" i="61"/>
  <c r="T70" i="61"/>
  <c r="R70" i="61"/>
  <c r="P70" i="61"/>
  <c r="N70" i="61"/>
  <c r="L70" i="61"/>
  <c r="AN52" i="61"/>
  <c r="H70" i="61"/>
  <c r="H73" i="61" s="1"/>
  <c r="F23" i="61"/>
  <c r="AN37" i="61" l="1"/>
  <c r="L73" i="61"/>
  <c r="J73" i="61"/>
  <c r="K73" i="61"/>
  <c r="M73" i="61" l="1"/>
  <c r="N73" i="61"/>
  <c r="O73" i="61" l="1"/>
  <c r="P73" i="61" l="1"/>
  <c r="R73" i="61" l="1"/>
  <c r="Q73" i="61"/>
  <c r="S73" i="61" l="1"/>
  <c r="T73" i="61" l="1"/>
  <c r="U73" i="61" l="1"/>
  <c r="V73" i="61" l="1"/>
  <c r="W73" i="61" l="1"/>
  <c r="X73" i="61" l="1"/>
  <c r="Y73" i="61" l="1"/>
  <c r="Z73" i="61" l="1"/>
  <c r="AA73" i="61" l="1"/>
  <c r="AB73" i="61" l="1"/>
  <c r="AC73" i="61" l="1"/>
  <c r="AD73" i="61" l="1"/>
  <c r="AE73" i="61" l="1"/>
  <c r="AF73" i="61" l="1"/>
  <c r="AG73" i="61" l="1"/>
  <c r="AH73" i="61" l="1"/>
  <c r="AI73" i="61" l="1"/>
  <c r="AJ73" i="61" l="1"/>
  <c r="AK73" i="61" l="1"/>
  <c r="AL73" i="61" l="1"/>
  <c r="G44" i="61" l="1"/>
  <c r="G39" i="61"/>
  <c r="AN39" i="61" s="1"/>
  <c r="G38" i="61"/>
  <c r="AN38" i="61" s="1"/>
  <c r="G36" i="61"/>
  <c r="G35" i="61"/>
  <c r="AN35" i="61" s="1"/>
  <c r="G34" i="61"/>
  <c r="AN34" i="61" s="1"/>
  <c r="G33" i="61"/>
  <c r="G71" i="61" s="1"/>
  <c r="G31" i="61"/>
  <c r="AN31" i="61" s="1"/>
  <c r="G30" i="61"/>
  <c r="AN30" i="61" s="1"/>
  <c r="G29" i="61"/>
  <c r="AN29" i="61" s="1"/>
  <c r="G25" i="61"/>
  <c r="AN25" i="61" s="1"/>
  <c r="G24" i="61"/>
  <c r="AN24" i="61" s="1"/>
  <c r="G23" i="61"/>
  <c r="AN23" i="61" s="1"/>
  <c r="G33" i="70"/>
  <c r="E33" i="70"/>
  <c r="F33" i="70" s="1"/>
  <c r="C33" i="70"/>
  <c r="G32" i="70"/>
  <c r="E32" i="70"/>
  <c r="F32" i="70" s="1"/>
  <c r="C32" i="70"/>
  <c r="G31" i="70"/>
  <c r="E31" i="70"/>
  <c r="F31" i="70" s="1"/>
  <c r="C31" i="70"/>
  <c r="G30" i="70"/>
  <c r="E30" i="70"/>
  <c r="F30" i="70" s="1"/>
  <c r="C30" i="70"/>
  <c r="G29" i="70"/>
  <c r="E29" i="70"/>
  <c r="F29" i="70" s="1"/>
  <c r="C29" i="70"/>
  <c r="G28" i="70"/>
  <c r="E28" i="70"/>
  <c r="F28" i="70" s="1"/>
  <c r="C28" i="70"/>
  <c r="G27" i="70"/>
  <c r="E27" i="70"/>
  <c r="F27" i="70" s="1"/>
  <c r="C27" i="70"/>
  <c r="G26" i="70"/>
  <c r="E26" i="70"/>
  <c r="F26" i="70" s="1"/>
  <c r="C26" i="70"/>
  <c r="G25" i="70"/>
  <c r="E25" i="70"/>
  <c r="F25" i="70" s="1"/>
  <c r="C25" i="70"/>
  <c r="G24" i="70"/>
  <c r="E24" i="70"/>
  <c r="F24" i="70" s="1"/>
  <c r="C24" i="70"/>
  <c r="G23" i="70"/>
  <c r="E23" i="70"/>
  <c r="F23" i="70" s="1"/>
  <c r="C23" i="70"/>
  <c r="G22" i="70"/>
  <c r="E22" i="70"/>
  <c r="F22" i="70" s="1"/>
  <c r="C22" i="70"/>
  <c r="G21" i="70"/>
  <c r="E21" i="70"/>
  <c r="F21" i="70" s="1"/>
  <c r="C21" i="70"/>
  <c r="G20" i="70"/>
  <c r="E20" i="70"/>
  <c r="F20" i="70" s="1"/>
  <c r="C20" i="70"/>
  <c r="G19" i="70"/>
  <c r="E19" i="70"/>
  <c r="F19" i="70" s="1"/>
  <c r="C19" i="70"/>
  <c r="G18" i="70"/>
  <c r="F18" i="70"/>
  <c r="E18" i="70"/>
  <c r="C18" i="70"/>
  <c r="G17" i="70"/>
  <c r="E17" i="70"/>
  <c r="F17" i="70" s="1"/>
  <c r="C17" i="70"/>
  <c r="G16" i="70"/>
  <c r="E16" i="70"/>
  <c r="F16" i="70" s="1"/>
  <c r="C16" i="70"/>
  <c r="G15" i="70"/>
  <c r="E15" i="70"/>
  <c r="F15" i="70" s="1"/>
  <c r="C15" i="70"/>
  <c r="G14" i="70"/>
  <c r="E14" i="70"/>
  <c r="F14" i="70" s="1"/>
  <c r="C14" i="70"/>
  <c r="G13" i="70"/>
  <c r="E13" i="70"/>
  <c r="F13" i="70" s="1"/>
  <c r="C13" i="70"/>
  <c r="G12" i="70"/>
  <c r="E12" i="70"/>
  <c r="F12" i="70" s="1"/>
  <c r="C12" i="70"/>
  <c r="G11" i="70"/>
  <c r="E11" i="70"/>
  <c r="F11" i="70" s="1"/>
  <c r="C11" i="70"/>
  <c r="G10" i="70"/>
  <c r="E10" i="70"/>
  <c r="F10" i="70" s="1"/>
  <c r="C10" i="70"/>
  <c r="G9" i="70"/>
  <c r="E9" i="70"/>
  <c r="F9" i="70" s="1"/>
  <c r="C9" i="70"/>
  <c r="G8" i="70"/>
  <c r="E8" i="70"/>
  <c r="F8" i="70" s="1"/>
  <c r="C8" i="70"/>
  <c r="G7" i="70"/>
  <c r="F7" i="70"/>
  <c r="C7" i="70"/>
  <c r="G6" i="70"/>
  <c r="F6" i="70"/>
  <c r="C6" i="70"/>
  <c r="G5" i="70"/>
  <c r="F5" i="70"/>
  <c r="C5" i="70"/>
  <c r="G4" i="70"/>
  <c r="F4" i="70"/>
  <c r="C4" i="70"/>
  <c r="Q3" i="70"/>
  <c r="H32" i="70" s="1"/>
  <c r="F36" i="70" l="1"/>
  <c r="H5" i="70"/>
  <c r="H7" i="70"/>
  <c r="D11" i="70"/>
  <c r="H11" i="70"/>
  <c r="D15" i="70"/>
  <c r="H15" i="70"/>
  <c r="D19" i="70"/>
  <c r="H19" i="70"/>
  <c r="D23" i="70"/>
  <c r="H23" i="70"/>
  <c r="D27" i="70"/>
  <c r="H27" i="70"/>
  <c r="D31" i="70"/>
  <c r="H31" i="70"/>
  <c r="H4" i="70"/>
  <c r="H6" i="70"/>
  <c r="D9" i="70"/>
  <c r="H9" i="70"/>
  <c r="D13" i="70"/>
  <c r="H13" i="70"/>
  <c r="D17" i="70"/>
  <c r="H17" i="70"/>
  <c r="J17" i="70" s="1"/>
  <c r="D21" i="70"/>
  <c r="J21" i="70" s="1"/>
  <c r="H21" i="70"/>
  <c r="D25" i="70"/>
  <c r="H25" i="70"/>
  <c r="D29" i="70"/>
  <c r="J29" i="70" s="1"/>
  <c r="H29" i="70"/>
  <c r="D33" i="70"/>
  <c r="J33" i="70" s="1"/>
  <c r="H33" i="70"/>
  <c r="AN28" i="61"/>
  <c r="D36" i="61"/>
  <c r="AN36" i="61"/>
  <c r="D44" i="61"/>
  <c r="AN44" i="61"/>
  <c r="G42" i="61"/>
  <c r="G43" i="61"/>
  <c r="AN43" i="61" s="1"/>
  <c r="L20" i="61"/>
  <c r="G20" i="61"/>
  <c r="AN33" i="61"/>
  <c r="G27" i="61"/>
  <c r="AN27" i="61" s="1"/>
  <c r="G41" i="61"/>
  <c r="AN41" i="61" s="1"/>
  <c r="J9" i="70"/>
  <c r="J13" i="70"/>
  <c r="J25" i="70"/>
  <c r="D4" i="70"/>
  <c r="D5" i="70"/>
  <c r="J5" i="70" s="1"/>
  <c r="D6" i="70"/>
  <c r="J6" i="70" s="1"/>
  <c r="D7" i="70"/>
  <c r="J7" i="70" s="1"/>
  <c r="D8" i="70"/>
  <c r="H8" i="70"/>
  <c r="D10" i="70"/>
  <c r="H10" i="70"/>
  <c r="D12" i="70"/>
  <c r="H12" i="70"/>
  <c r="D14" i="70"/>
  <c r="H14" i="70"/>
  <c r="D16" i="70"/>
  <c r="H16" i="70"/>
  <c r="D18" i="70"/>
  <c r="H18" i="70"/>
  <c r="D20" i="70"/>
  <c r="H20" i="70"/>
  <c r="D22" i="70"/>
  <c r="H22" i="70"/>
  <c r="D24" i="70"/>
  <c r="H24" i="70"/>
  <c r="D26" i="70"/>
  <c r="H26" i="70"/>
  <c r="D28" i="70"/>
  <c r="H28" i="70"/>
  <c r="D30" i="70"/>
  <c r="H30" i="70"/>
  <c r="D32" i="70"/>
  <c r="J32" i="70" s="1"/>
  <c r="J31" i="70" l="1"/>
  <c r="J27" i="70"/>
  <c r="J23" i="70"/>
  <c r="J19" i="70"/>
  <c r="J15" i="70"/>
  <c r="J11" i="70"/>
  <c r="H36" i="70"/>
  <c r="AN42" i="61"/>
  <c r="G22" i="61"/>
  <c r="G72" i="61" s="1"/>
  <c r="AN20" i="61"/>
  <c r="F20" i="61"/>
  <c r="AN71" i="61"/>
  <c r="J30" i="70"/>
  <c r="J28" i="70"/>
  <c r="J26" i="70"/>
  <c r="J24" i="70"/>
  <c r="J22" i="70"/>
  <c r="J20" i="70"/>
  <c r="J18" i="70"/>
  <c r="J16" i="70"/>
  <c r="J14" i="70"/>
  <c r="J12" i="70"/>
  <c r="J10" i="70"/>
  <c r="J8" i="70"/>
  <c r="J4" i="70"/>
  <c r="D36" i="70"/>
  <c r="F37" i="70" l="1"/>
  <c r="AN72" i="61"/>
  <c r="AN22" i="61"/>
  <c r="T5" i="47"/>
  <c r="T6" i="47"/>
  <c r="T4" i="47"/>
  <c r="M34" i="47"/>
  <c r="K34" i="47"/>
  <c r="D11" i="47"/>
  <c r="C11" i="47"/>
  <c r="B11" i="47"/>
  <c r="E10" i="47"/>
  <c r="F10" i="47" s="1"/>
  <c r="E9" i="47"/>
  <c r="F9" i="47" s="1"/>
  <c r="E8" i="47"/>
  <c r="F8" i="47" s="1"/>
  <c r="E7" i="47"/>
  <c r="F7" i="47" s="1"/>
  <c r="E6" i="47"/>
  <c r="F6" i="47" s="1"/>
  <c r="E5" i="47"/>
  <c r="F5" i="47" s="1"/>
  <c r="E4" i="47"/>
  <c r="F4" i="47" s="1"/>
  <c r="E11" i="47" l="1"/>
  <c r="F11" i="47" s="1"/>
  <c r="F14" i="47" s="1"/>
  <c r="N32" i="47" s="1"/>
  <c r="M35" i="47"/>
  <c r="M36" i="47" s="1"/>
  <c r="N33" i="47"/>
  <c r="N30" i="47"/>
  <c r="N28" i="47"/>
  <c r="N26" i="47"/>
  <c r="N24" i="47"/>
  <c r="N23" i="47"/>
  <c r="N22" i="47"/>
  <c r="N21" i="47"/>
  <c r="N20" i="47"/>
  <c r="N19" i="47"/>
  <c r="N18" i="47"/>
  <c r="N17" i="47"/>
  <c r="N16" i="47"/>
  <c r="N15" i="47"/>
  <c r="N14" i="47"/>
  <c r="N10" i="47"/>
  <c r="N8" i="47"/>
  <c r="N7" i="47"/>
  <c r="N13" i="47"/>
  <c r="N12" i="47"/>
  <c r="N11" i="47"/>
  <c r="N9" i="47"/>
  <c r="N25" i="47" l="1"/>
  <c r="N27" i="47"/>
  <c r="T27" i="47" s="1"/>
  <c r="N29" i="47"/>
  <c r="N31" i="47"/>
  <c r="O32" i="47"/>
  <c r="T32" i="47"/>
  <c r="O9" i="47"/>
  <c r="T9" i="47"/>
  <c r="O12" i="47"/>
  <c r="T12" i="47"/>
  <c r="O11" i="47"/>
  <c r="T11" i="47"/>
  <c r="O13" i="47"/>
  <c r="T13" i="47"/>
  <c r="O8" i="47"/>
  <c r="T8" i="47"/>
  <c r="O14" i="47"/>
  <c r="T14" i="47"/>
  <c r="O16" i="47"/>
  <c r="T16" i="47"/>
  <c r="O18" i="47"/>
  <c r="T18" i="47"/>
  <c r="O20" i="47"/>
  <c r="T20" i="47"/>
  <c r="O22" i="47"/>
  <c r="T22" i="47"/>
  <c r="O24" i="47"/>
  <c r="T24" i="47"/>
  <c r="O26" i="47"/>
  <c r="T26" i="47"/>
  <c r="O28" i="47"/>
  <c r="T28" i="47"/>
  <c r="O30" i="47"/>
  <c r="T30" i="47"/>
  <c r="O7" i="47"/>
  <c r="T7" i="47"/>
  <c r="O10" i="47"/>
  <c r="T10" i="47"/>
  <c r="O15" i="47"/>
  <c r="T15" i="47"/>
  <c r="O17" i="47"/>
  <c r="T17" i="47"/>
  <c r="O19" i="47"/>
  <c r="T19" i="47"/>
  <c r="O21" i="47"/>
  <c r="T21" i="47"/>
  <c r="O23" i="47"/>
  <c r="T23" i="47"/>
  <c r="O25" i="47"/>
  <c r="T25" i="47"/>
  <c r="O27" i="47"/>
  <c r="O29" i="47"/>
  <c r="T29" i="47"/>
  <c r="O31" i="47"/>
  <c r="T31" i="47"/>
  <c r="O33" i="47"/>
  <c r="T33" i="47"/>
  <c r="O34" i="47"/>
  <c r="O35" i="47" s="1"/>
  <c r="O36" i="47" s="1"/>
  <c r="C16" i="69" l="1"/>
  <c r="F7" i="69"/>
  <c r="F8" i="69" s="1"/>
  <c r="F9" i="69" s="1"/>
  <c r="F10" i="69" s="1"/>
  <c r="F11" i="69" s="1"/>
  <c r="F12" i="69" s="1"/>
  <c r="F13" i="69" s="1"/>
  <c r="F14" i="69" s="1"/>
  <c r="F15" i="69" s="1"/>
  <c r="I15" i="69" s="1"/>
  <c r="I6" i="69"/>
  <c r="I5" i="69"/>
  <c r="I4" i="69"/>
  <c r="I10" i="69" l="1"/>
  <c r="I7" i="69"/>
  <c r="I14" i="69"/>
  <c r="F16" i="69"/>
  <c r="F17" i="69" s="1"/>
  <c r="F18" i="69" s="1"/>
  <c r="F19" i="69" s="1"/>
  <c r="F20" i="69" s="1"/>
  <c r="F21" i="69" s="1"/>
  <c r="F22" i="69" s="1"/>
  <c r="F23" i="69" s="1"/>
  <c r="F24" i="69" s="1"/>
  <c r="F25" i="69" s="1"/>
  <c r="F26" i="69" s="1"/>
  <c r="F27" i="69" s="1"/>
  <c r="F28" i="69" s="1"/>
  <c r="F29" i="69" s="1"/>
  <c r="F30" i="69" s="1"/>
  <c r="F31" i="69" s="1"/>
  <c r="F32" i="69" s="1"/>
  <c r="F33" i="69" s="1"/>
  <c r="I8" i="69"/>
  <c r="I12" i="69"/>
  <c r="C17" i="69"/>
  <c r="C18" i="69" s="1"/>
  <c r="O5" i="69"/>
  <c r="D5" i="69" s="1"/>
  <c r="E5" i="69" s="1"/>
  <c r="Q33" i="69"/>
  <c r="G33" i="69" s="1"/>
  <c r="H33" i="69" s="1"/>
  <c r="O9" i="69"/>
  <c r="D9" i="69" s="1"/>
  <c r="E9" i="69" s="1"/>
  <c r="Q5" i="69"/>
  <c r="G5" i="69" s="1"/>
  <c r="H5" i="69" s="1"/>
  <c r="O13" i="69"/>
  <c r="D13" i="69" s="1"/>
  <c r="E13" i="69" s="1"/>
  <c r="Q9" i="69"/>
  <c r="Q13" i="69"/>
  <c r="G13" i="69" s="1"/>
  <c r="H13" i="69" s="1"/>
  <c r="G9" i="69"/>
  <c r="H9" i="69" s="1"/>
  <c r="Q29" i="69"/>
  <c r="G29" i="69" s="1"/>
  <c r="H29" i="69" s="1"/>
  <c r="Q32" i="69"/>
  <c r="G32" i="69" s="1"/>
  <c r="H32" i="69" s="1"/>
  <c r="Q28" i="69"/>
  <c r="G28" i="69" s="1"/>
  <c r="H28" i="69" s="1"/>
  <c r="Q20" i="69"/>
  <c r="G20" i="69" s="1"/>
  <c r="H20" i="69" s="1"/>
  <c r="Q16" i="69"/>
  <c r="G16" i="69" s="1"/>
  <c r="H16" i="69" s="1"/>
  <c r="Q14" i="69"/>
  <c r="G14" i="69" s="1"/>
  <c r="H14" i="69" s="1"/>
  <c r="Q12" i="69"/>
  <c r="G12" i="69" s="1"/>
  <c r="H12" i="69" s="1"/>
  <c r="Q10" i="69"/>
  <c r="G10" i="69" s="1"/>
  <c r="H10" i="69" s="1"/>
  <c r="Q8" i="69"/>
  <c r="G8" i="69" s="1"/>
  <c r="H8" i="69" s="1"/>
  <c r="Q6" i="69"/>
  <c r="G6" i="69" s="1"/>
  <c r="H6" i="69" s="1"/>
  <c r="Q7" i="69"/>
  <c r="G7" i="69" s="1"/>
  <c r="H7" i="69" s="1"/>
  <c r="Q11" i="69"/>
  <c r="G11" i="69" s="1"/>
  <c r="H11" i="69" s="1"/>
  <c r="Q15" i="69"/>
  <c r="G15" i="69" s="1"/>
  <c r="H15" i="69" s="1"/>
  <c r="Q19" i="69"/>
  <c r="G19" i="69" s="1"/>
  <c r="H19" i="69" s="1"/>
  <c r="Q27" i="69"/>
  <c r="G27" i="69" s="1"/>
  <c r="H27" i="69" s="1"/>
  <c r="I9" i="69"/>
  <c r="I11" i="69"/>
  <c r="I13" i="69"/>
  <c r="Q24" i="69" l="1"/>
  <c r="G24" i="69" s="1"/>
  <c r="H24" i="69" s="1"/>
  <c r="I17" i="69"/>
  <c r="Q31" i="69"/>
  <c r="G31" i="69" s="1"/>
  <c r="H31" i="69" s="1"/>
  <c r="Q23" i="69"/>
  <c r="G23" i="69" s="1"/>
  <c r="H23" i="69" s="1"/>
  <c r="Q18" i="69"/>
  <c r="G18" i="69" s="1"/>
  <c r="H18" i="69" s="1"/>
  <c r="Q22" i="69"/>
  <c r="G22" i="69" s="1"/>
  <c r="H22" i="69" s="1"/>
  <c r="Q26" i="69"/>
  <c r="G26" i="69" s="1"/>
  <c r="H26" i="69" s="1"/>
  <c r="Q30" i="69"/>
  <c r="G30" i="69" s="1"/>
  <c r="H30" i="69" s="1"/>
  <c r="Q25" i="69"/>
  <c r="G25" i="69" s="1"/>
  <c r="H25" i="69" s="1"/>
  <c r="Q21" i="69"/>
  <c r="G21" i="69" s="1"/>
  <c r="H21" i="69" s="1"/>
  <c r="I18" i="69"/>
  <c r="O17" i="69"/>
  <c r="D17" i="69" s="1"/>
  <c r="E17" i="69" s="1"/>
  <c r="Q17" i="69"/>
  <c r="G17" i="69" s="1"/>
  <c r="H17" i="69" s="1"/>
  <c r="I16" i="69"/>
  <c r="C19" i="69"/>
  <c r="I19" i="69" s="1"/>
  <c r="R9" i="69"/>
  <c r="J13" i="69"/>
  <c r="J9" i="69"/>
  <c r="R5" i="69"/>
  <c r="O15" i="69"/>
  <c r="D15" i="69" s="1"/>
  <c r="E15" i="69" s="1"/>
  <c r="J15" i="69" s="1"/>
  <c r="O7" i="69"/>
  <c r="D7" i="69" s="1"/>
  <c r="E7" i="69" s="1"/>
  <c r="J7" i="69" s="1"/>
  <c r="O6" i="69"/>
  <c r="D6" i="69" s="1"/>
  <c r="E6" i="69" s="1"/>
  <c r="J6" i="69" s="1"/>
  <c r="O10" i="69"/>
  <c r="D10" i="69" s="1"/>
  <c r="E10" i="69" s="1"/>
  <c r="J10" i="69" s="1"/>
  <c r="O14" i="69"/>
  <c r="D14" i="69" s="1"/>
  <c r="E14" i="69" s="1"/>
  <c r="J14" i="69" s="1"/>
  <c r="O18" i="69"/>
  <c r="D18" i="69" s="1"/>
  <c r="E18" i="69" s="1"/>
  <c r="J18" i="69" s="1"/>
  <c r="Q4" i="69"/>
  <c r="G4" i="69" s="1"/>
  <c r="H4" i="69" s="1"/>
  <c r="P34" i="69"/>
  <c r="O11" i="69"/>
  <c r="D11" i="69" s="1"/>
  <c r="E11" i="69" s="1"/>
  <c r="J11" i="69" s="1"/>
  <c r="N34" i="69"/>
  <c r="O4" i="69"/>
  <c r="D4" i="69" s="1"/>
  <c r="E4" i="69" s="1"/>
  <c r="O8" i="69"/>
  <c r="D8" i="69" s="1"/>
  <c r="E8" i="69" s="1"/>
  <c r="J8" i="69" s="1"/>
  <c r="O12" i="69"/>
  <c r="D12" i="69" s="1"/>
  <c r="E12" i="69" s="1"/>
  <c r="J12" i="69" s="1"/>
  <c r="O16" i="69"/>
  <c r="D16" i="69" s="1"/>
  <c r="E16" i="69" s="1"/>
  <c r="J16" i="69" s="1"/>
  <c r="J5" i="69"/>
  <c r="R13" i="69"/>
  <c r="H35" i="69" l="1"/>
  <c r="R17" i="69"/>
  <c r="C20" i="69"/>
  <c r="O19" i="69"/>
  <c r="D19" i="69" s="1"/>
  <c r="E19" i="69" s="1"/>
  <c r="J19" i="69" s="1"/>
  <c r="J17" i="69"/>
  <c r="R14" i="69"/>
  <c r="J4" i="69"/>
  <c r="R16" i="69"/>
  <c r="R10" i="69"/>
  <c r="C21" i="69"/>
  <c r="I20" i="69"/>
  <c r="O20" i="69"/>
  <c r="R12" i="69"/>
  <c r="R8" i="69"/>
  <c r="R4" i="69"/>
  <c r="R11" i="69"/>
  <c r="R19" i="69"/>
  <c r="R18" i="69"/>
  <c r="R6" i="69"/>
  <c r="R7" i="69"/>
  <c r="R15" i="69"/>
  <c r="D20" i="69" l="1"/>
  <c r="E20" i="69" s="1"/>
  <c r="R20" i="69"/>
  <c r="I21" i="69"/>
  <c r="C22" i="69"/>
  <c r="O21" i="69"/>
  <c r="C23" i="69" l="1"/>
  <c r="I22" i="69"/>
  <c r="O22" i="69"/>
  <c r="D21" i="69"/>
  <c r="E21" i="69" s="1"/>
  <c r="J21" i="69" s="1"/>
  <c r="R21" i="69"/>
  <c r="J20" i="69"/>
  <c r="D22" i="69" l="1"/>
  <c r="E22" i="69" s="1"/>
  <c r="J22" i="69" s="1"/>
  <c r="R22" i="69"/>
  <c r="I23" i="69"/>
  <c r="C24" i="69"/>
  <c r="O23" i="69"/>
  <c r="D23" i="69" l="1"/>
  <c r="E23" i="69" s="1"/>
  <c r="J23" i="69" s="1"/>
  <c r="R23" i="69"/>
  <c r="C25" i="69"/>
  <c r="I24" i="69"/>
  <c r="O24" i="69"/>
  <c r="D24" i="69" l="1"/>
  <c r="E24" i="69" s="1"/>
  <c r="R24" i="69"/>
  <c r="I25" i="69"/>
  <c r="C26" i="69"/>
  <c r="O25" i="69"/>
  <c r="C27" i="69" l="1"/>
  <c r="I26" i="69"/>
  <c r="O26" i="69"/>
  <c r="D25" i="69"/>
  <c r="E25" i="69" s="1"/>
  <c r="J25" i="69" s="1"/>
  <c r="R25" i="69"/>
  <c r="J24" i="69"/>
  <c r="D26" i="69" l="1"/>
  <c r="E26" i="69" s="1"/>
  <c r="J26" i="69" s="1"/>
  <c r="R26" i="69"/>
  <c r="I27" i="69"/>
  <c r="C28" i="69"/>
  <c r="O27" i="69"/>
  <c r="C29" i="69" l="1"/>
  <c r="I28" i="69"/>
  <c r="O28" i="69"/>
  <c r="D27" i="69"/>
  <c r="E27" i="69" s="1"/>
  <c r="J27" i="69" s="1"/>
  <c r="R27" i="69"/>
  <c r="D28" i="69" l="1"/>
  <c r="E28" i="69" s="1"/>
  <c r="J28" i="69" s="1"/>
  <c r="R28" i="69"/>
  <c r="I29" i="69"/>
  <c r="C30" i="69"/>
  <c r="O29" i="69"/>
  <c r="C31" i="69" l="1"/>
  <c r="I30" i="69"/>
  <c r="O30" i="69"/>
  <c r="D29" i="69"/>
  <c r="E29" i="69" s="1"/>
  <c r="J29" i="69" s="1"/>
  <c r="R29" i="69"/>
  <c r="D30" i="69" l="1"/>
  <c r="E30" i="69" s="1"/>
  <c r="J30" i="69" s="1"/>
  <c r="R30" i="69"/>
  <c r="I31" i="69"/>
  <c r="C32" i="69"/>
  <c r="O31" i="69"/>
  <c r="C33" i="69" l="1"/>
  <c r="I32" i="69"/>
  <c r="O32" i="69"/>
  <c r="D31" i="69"/>
  <c r="E31" i="69" s="1"/>
  <c r="J31" i="69" s="1"/>
  <c r="R31" i="69"/>
  <c r="D32" i="69" l="1"/>
  <c r="E32" i="69" s="1"/>
  <c r="J32" i="69" s="1"/>
  <c r="R32" i="69"/>
  <c r="I33" i="69"/>
  <c r="O33" i="69"/>
  <c r="D33" i="69" l="1"/>
  <c r="E33" i="69" s="1"/>
  <c r="R33" i="69"/>
  <c r="R34" i="69" s="1"/>
  <c r="J33" i="69" l="1"/>
  <c r="J34" i="69" s="1"/>
  <c r="E35" i="69"/>
  <c r="E6" i="68" l="1"/>
  <c r="H5" i="68" l="1"/>
  <c r="H24" i="68" l="1"/>
  <c r="L35" i="68"/>
  <c r="K35" i="68"/>
  <c r="J35" i="68"/>
  <c r="I35" i="68"/>
  <c r="H35" i="68"/>
  <c r="G35" i="68"/>
  <c r="G38" i="68" s="1"/>
  <c r="F35" i="68"/>
  <c r="E35" i="68"/>
  <c r="D35" i="68"/>
  <c r="C34" i="68"/>
  <c r="C33" i="68"/>
  <c r="C32" i="68"/>
  <c r="C31" i="68"/>
  <c r="C30" i="68"/>
  <c r="C29" i="68"/>
  <c r="C28" i="68"/>
  <c r="L24" i="68"/>
  <c r="K24" i="68"/>
  <c r="J24" i="68"/>
  <c r="I24" i="68"/>
  <c r="G24" i="68"/>
  <c r="F24" i="68"/>
  <c r="E24" i="68"/>
  <c r="D24" i="68"/>
  <c r="C23" i="68"/>
  <c r="C22" i="68"/>
  <c r="C21" i="68"/>
  <c r="C20" i="68"/>
  <c r="C19" i="68"/>
  <c r="C18" i="68"/>
  <c r="C17" i="68"/>
  <c r="C16" i="68"/>
  <c r="C15" i="68"/>
  <c r="C14" i="68"/>
  <c r="C13" i="68"/>
  <c r="C12" i="68"/>
  <c r="H38" i="68" l="1"/>
  <c r="I38" i="68" s="1"/>
  <c r="J38" i="68" s="1"/>
  <c r="K38" i="68" s="1"/>
  <c r="L38" i="68" s="1"/>
  <c r="I73" i="67"/>
  <c r="K83" i="67"/>
  <c r="K82" i="67"/>
  <c r="K78" i="67"/>
  <c r="K77" i="67"/>
  <c r="K76" i="67"/>
  <c r="K75" i="67"/>
  <c r="K74" i="67"/>
  <c r="C6" i="51" s="1"/>
  <c r="K73" i="67"/>
  <c r="K70" i="67"/>
  <c r="K69" i="67"/>
  <c r="K68" i="67"/>
  <c r="K67" i="67"/>
  <c r="K65" i="67"/>
  <c r="K64" i="67" s="1"/>
  <c r="K60" i="67"/>
  <c r="K59" i="67"/>
  <c r="L6" i="27" s="1"/>
  <c r="K58" i="67"/>
  <c r="K57" i="67"/>
  <c r="K56" i="67"/>
  <c r="K55" i="67"/>
  <c r="K51" i="67"/>
  <c r="K50" i="67" s="1"/>
  <c r="K49" i="67"/>
  <c r="K46" i="67"/>
  <c r="K45" i="67" s="1"/>
  <c r="K42" i="67"/>
  <c r="K41" i="67" s="1"/>
  <c r="K40" i="67"/>
  <c r="K39" i="67"/>
  <c r="K38" i="67"/>
  <c r="K37" i="67"/>
  <c r="K36" i="67"/>
  <c r="K35" i="67"/>
  <c r="K33" i="67"/>
  <c r="K32" i="67" s="1"/>
  <c r="K31" i="67"/>
  <c r="K30" i="67"/>
  <c r="K29" i="67"/>
  <c r="K28" i="67"/>
  <c r="K27" i="67"/>
  <c r="K26" i="67"/>
  <c r="K25" i="67"/>
  <c r="K24" i="67"/>
  <c r="K22" i="67"/>
  <c r="K21" i="67"/>
  <c r="K20" i="67"/>
  <c r="K19" i="67"/>
  <c r="K18" i="67"/>
  <c r="K17" i="67"/>
  <c r="K16" i="67"/>
  <c r="K15" i="67"/>
  <c r="K14" i="67"/>
  <c r="K13" i="67"/>
  <c r="K12" i="67"/>
  <c r="K11" i="67"/>
  <c r="K9" i="67"/>
  <c r="J83" i="67"/>
  <c r="J82" i="67"/>
  <c r="J78" i="67"/>
  <c r="J77" i="67"/>
  <c r="J76" i="67"/>
  <c r="J75" i="67"/>
  <c r="J74" i="67"/>
  <c r="C5" i="51" s="1"/>
  <c r="J73" i="67"/>
  <c r="J70" i="67"/>
  <c r="J69" i="67"/>
  <c r="J68" i="67"/>
  <c r="J67" i="67"/>
  <c r="J65" i="67"/>
  <c r="J64" i="67" s="1"/>
  <c r="J60" i="67"/>
  <c r="J59" i="67"/>
  <c r="L5" i="27" s="1"/>
  <c r="J58" i="67"/>
  <c r="J57" i="67"/>
  <c r="J56" i="67"/>
  <c r="J55" i="67"/>
  <c r="J54" i="67" s="1"/>
  <c r="J53" i="67" s="1"/>
  <c r="J51" i="67"/>
  <c r="J50" i="67" s="1"/>
  <c r="J49" i="67"/>
  <c r="J46" i="67"/>
  <c r="J42" i="67"/>
  <c r="J41" i="67" s="1"/>
  <c r="J40" i="67"/>
  <c r="J39" i="67"/>
  <c r="J38" i="67"/>
  <c r="J37" i="67"/>
  <c r="J36" i="67"/>
  <c r="J35" i="67"/>
  <c r="J33" i="67"/>
  <c r="J32" i="67" s="1"/>
  <c r="J31" i="67"/>
  <c r="J30" i="67"/>
  <c r="J29" i="67"/>
  <c r="J28" i="67"/>
  <c r="J27" i="67"/>
  <c r="J26" i="67"/>
  <c r="J25" i="67"/>
  <c r="J24" i="67"/>
  <c r="J22" i="67"/>
  <c r="J21" i="67"/>
  <c r="J20" i="67"/>
  <c r="J19" i="67"/>
  <c r="J18" i="67"/>
  <c r="J17" i="67"/>
  <c r="J16" i="67"/>
  <c r="J15" i="67"/>
  <c r="J14" i="67"/>
  <c r="J13" i="67"/>
  <c r="J12" i="67"/>
  <c r="J11" i="67"/>
  <c r="J9" i="67"/>
  <c r="I9" i="67"/>
  <c r="I46" i="67"/>
  <c r="I49" i="67"/>
  <c r="I60" i="67"/>
  <c r="I59" i="67"/>
  <c r="I70" i="67"/>
  <c r="I83" i="67"/>
  <c r="I82" i="67"/>
  <c r="I78" i="67"/>
  <c r="I77" i="67"/>
  <c r="I76" i="67"/>
  <c r="I75" i="67"/>
  <c r="I74" i="67"/>
  <c r="C4" i="51" s="1"/>
  <c r="I69" i="67"/>
  <c r="I68" i="67"/>
  <c r="I67" i="67"/>
  <c r="I65" i="67"/>
  <c r="I64" i="67" s="1"/>
  <c r="I58" i="67"/>
  <c r="I57" i="67"/>
  <c r="I56" i="67"/>
  <c r="I55" i="67"/>
  <c r="I51" i="67"/>
  <c r="I50" i="67" s="1"/>
  <c r="I42" i="67"/>
  <c r="I41" i="67" s="1"/>
  <c r="I40" i="67"/>
  <c r="I39" i="67"/>
  <c r="I38" i="67"/>
  <c r="I37" i="67"/>
  <c r="I36" i="67"/>
  <c r="I35" i="67"/>
  <c r="I33" i="67"/>
  <c r="I32" i="67" s="1"/>
  <c r="I31" i="67"/>
  <c r="I30" i="67"/>
  <c r="I29" i="67"/>
  <c r="I28" i="67"/>
  <c r="I27" i="67"/>
  <c r="I26" i="67"/>
  <c r="I25" i="67"/>
  <c r="I24" i="67"/>
  <c r="I23" i="67" s="1"/>
  <c r="I22" i="67"/>
  <c r="I21" i="67"/>
  <c r="I20" i="67"/>
  <c r="I19" i="67"/>
  <c r="I18" i="67"/>
  <c r="I17" i="67"/>
  <c r="I16" i="67"/>
  <c r="I15" i="67"/>
  <c r="I14" i="67"/>
  <c r="I13" i="67"/>
  <c r="I12" i="67"/>
  <c r="I11" i="67"/>
  <c r="R85" i="67"/>
  <c r="R83" i="67"/>
  <c r="R82" i="67"/>
  <c r="V81" i="67"/>
  <c r="V80" i="67" s="1"/>
  <c r="U81" i="67"/>
  <c r="U80" i="67" s="1"/>
  <c r="T81" i="67"/>
  <c r="T80" i="67" s="1"/>
  <c r="R78" i="67"/>
  <c r="R77" i="67"/>
  <c r="R76" i="67"/>
  <c r="R75" i="67"/>
  <c r="R74" i="67"/>
  <c r="R73" i="67"/>
  <c r="V72" i="67"/>
  <c r="U72" i="67"/>
  <c r="T72" i="67"/>
  <c r="R70" i="67"/>
  <c r="V66" i="67"/>
  <c r="U66" i="67"/>
  <c r="T66" i="67"/>
  <c r="R66" i="67"/>
  <c r="V64" i="67"/>
  <c r="U64" i="67"/>
  <c r="T64" i="67"/>
  <c r="T63" i="67" s="1"/>
  <c r="T62" i="67" s="1"/>
  <c r="R64" i="67"/>
  <c r="R63" i="67" s="1"/>
  <c r="V63" i="67"/>
  <c r="U63" i="67"/>
  <c r="U62" i="67" s="1"/>
  <c r="R60" i="67"/>
  <c r="R59" i="67"/>
  <c r="V54" i="67"/>
  <c r="U54" i="67"/>
  <c r="U53" i="67" s="1"/>
  <c r="T54" i="67"/>
  <c r="T53" i="67" s="1"/>
  <c r="R54" i="67"/>
  <c r="V53" i="67"/>
  <c r="V50" i="67"/>
  <c r="V48" i="67" s="1"/>
  <c r="U50" i="67"/>
  <c r="U48" i="67" s="1"/>
  <c r="T50" i="67"/>
  <c r="T48" i="67" s="1"/>
  <c r="R50" i="67"/>
  <c r="R49" i="67"/>
  <c r="V45" i="67"/>
  <c r="U45" i="67"/>
  <c r="T45" i="67"/>
  <c r="R45" i="67"/>
  <c r="R43" i="67"/>
  <c r="V41" i="67"/>
  <c r="U41" i="67"/>
  <c r="T41" i="67"/>
  <c r="R41" i="67"/>
  <c r="V34" i="67"/>
  <c r="U34" i="67"/>
  <c r="T34" i="67"/>
  <c r="R34" i="67"/>
  <c r="V32" i="67"/>
  <c r="U32" i="67"/>
  <c r="T32" i="67"/>
  <c r="R32" i="67"/>
  <c r="V23" i="67"/>
  <c r="U23" i="67"/>
  <c r="T23" i="67"/>
  <c r="R23" i="67"/>
  <c r="V10" i="67"/>
  <c r="U10" i="67"/>
  <c r="T10" i="67"/>
  <c r="R10" i="67"/>
  <c r="R9" i="67"/>
  <c r="G83" i="67"/>
  <c r="G82" i="67"/>
  <c r="G78" i="67"/>
  <c r="G77" i="67"/>
  <c r="G76" i="67"/>
  <c r="G75" i="67"/>
  <c r="G74" i="67"/>
  <c r="G73" i="67"/>
  <c r="G70" i="67"/>
  <c r="G66" i="67"/>
  <c r="G64" i="67"/>
  <c r="G60" i="67"/>
  <c r="G59" i="67"/>
  <c r="G54" i="67"/>
  <c r="G50" i="67"/>
  <c r="G49" i="67"/>
  <c r="I45" i="67"/>
  <c r="G45" i="67"/>
  <c r="G43" i="67"/>
  <c r="G41" i="67"/>
  <c r="G34" i="67"/>
  <c r="G32" i="67"/>
  <c r="G23" i="67"/>
  <c r="G10" i="67"/>
  <c r="G9" i="67"/>
  <c r="I10" i="67" l="1"/>
  <c r="K10" i="67"/>
  <c r="T8" i="67"/>
  <c r="U8" i="67"/>
  <c r="V8" i="67"/>
  <c r="J81" i="67"/>
  <c r="J80" i="67" s="1"/>
  <c r="J10" i="67"/>
  <c r="K34" i="67"/>
  <c r="K54" i="67"/>
  <c r="K53" i="67" s="1"/>
  <c r="T7" i="67"/>
  <c r="T85" i="67" s="1"/>
  <c r="J6" i="51"/>
  <c r="G63" i="67"/>
  <c r="R53" i="67"/>
  <c r="I54" i="67"/>
  <c r="I53" i="67" s="1"/>
  <c r="I66" i="67"/>
  <c r="I63" i="67" s="1"/>
  <c r="J34" i="67"/>
  <c r="K81" i="67"/>
  <c r="K80" i="67" s="1"/>
  <c r="E6" i="27"/>
  <c r="K6" i="27"/>
  <c r="V7" i="67"/>
  <c r="K4" i="27"/>
  <c r="C4" i="27"/>
  <c r="E5" i="27"/>
  <c r="K5" i="27"/>
  <c r="G53" i="67"/>
  <c r="R72" i="67"/>
  <c r="R62" i="67" s="1"/>
  <c r="I34" i="67"/>
  <c r="L4" i="27"/>
  <c r="J4" i="51"/>
  <c r="I48" i="67"/>
  <c r="I81" i="67"/>
  <c r="I80" i="67" s="1"/>
  <c r="R8" i="67"/>
  <c r="U7" i="67"/>
  <c r="U85" i="67" s="1"/>
  <c r="U84" i="67" s="1"/>
  <c r="R48" i="67"/>
  <c r="V62" i="67"/>
  <c r="R81" i="67"/>
  <c r="R80" i="67" s="1"/>
  <c r="J23" i="67"/>
  <c r="J45" i="67"/>
  <c r="J48" i="67"/>
  <c r="J66" i="67"/>
  <c r="J72" i="67"/>
  <c r="K23" i="67"/>
  <c r="K48" i="67"/>
  <c r="K66" i="67"/>
  <c r="K72" i="67"/>
  <c r="J5" i="51"/>
  <c r="I8" i="67"/>
  <c r="G8" i="67"/>
  <c r="G48" i="67"/>
  <c r="G81" i="67"/>
  <c r="G80" i="67" s="1"/>
  <c r="G72" i="67"/>
  <c r="G62" i="67" l="1"/>
  <c r="V85" i="67"/>
  <c r="V84" i="67" s="1"/>
  <c r="J8" i="67"/>
  <c r="J4" i="27"/>
  <c r="K63" i="67"/>
  <c r="K62" i="67" s="1"/>
  <c r="C6" i="27"/>
  <c r="J6" i="27"/>
  <c r="J63" i="67"/>
  <c r="J62" i="67" s="1"/>
  <c r="C5" i="27"/>
  <c r="D5" i="27" s="1"/>
  <c r="J5" i="27"/>
  <c r="R7" i="67"/>
  <c r="J7" i="67"/>
  <c r="J85" i="67" s="1"/>
  <c r="I7" i="67"/>
  <c r="K8" i="67"/>
  <c r="K7" i="67" s="1"/>
  <c r="G7" i="67"/>
  <c r="G85" i="67"/>
  <c r="K85" i="67" l="1"/>
  <c r="V86" i="67"/>
  <c r="C342" i="65"/>
  <c r="C343" i="65" s="1"/>
  <c r="C344" i="65" s="1"/>
  <c r="C345" i="65" s="1"/>
  <c r="C346" i="65" s="1"/>
  <c r="C347" i="65" s="1"/>
  <c r="C348" i="65" s="1"/>
  <c r="C349" i="65" s="1"/>
  <c r="C350" i="65" s="1"/>
  <c r="C351" i="65" s="1"/>
  <c r="C352" i="65" s="1"/>
  <c r="C353" i="65" s="1"/>
  <c r="C354" i="65" s="1"/>
  <c r="C355" i="65" s="1"/>
  <c r="C356" i="65" s="1"/>
  <c r="C357" i="65" s="1"/>
  <c r="C358" i="65" s="1"/>
  <c r="C359" i="65" s="1"/>
  <c r="C360" i="65" s="1"/>
  <c r="C361" i="65" s="1"/>
  <c r="C362" i="65" s="1"/>
  <c r="C363" i="65" s="1"/>
  <c r="C364" i="65" s="1"/>
  <c r="C365" i="65" s="1"/>
  <c r="C366" i="65" s="1"/>
  <c r="C367" i="65" s="1"/>
  <c r="C368" i="65" s="1"/>
  <c r="C369" i="65" s="1"/>
  <c r="C370" i="65" s="1"/>
  <c r="C371" i="65" s="1"/>
  <c r="E340" i="65"/>
  <c r="F340" i="65" s="1"/>
  <c r="G340" i="65" s="1"/>
  <c r="H340" i="65" s="1"/>
  <c r="I340" i="65" s="1"/>
  <c r="J340" i="65" s="1"/>
  <c r="K340" i="65" s="1"/>
  <c r="L340" i="65" s="1"/>
  <c r="M340" i="65" s="1"/>
  <c r="N340" i="65" s="1"/>
  <c r="O340" i="65" s="1"/>
  <c r="P340" i="65" s="1"/>
  <c r="Q340" i="65" s="1"/>
  <c r="R340" i="65" s="1"/>
  <c r="S340" i="65" s="1"/>
  <c r="T340" i="65" s="1"/>
  <c r="U340" i="65" s="1"/>
  <c r="V340" i="65" s="1"/>
  <c r="W340" i="65" s="1"/>
  <c r="X340" i="65" s="1"/>
  <c r="Y340" i="65" s="1"/>
  <c r="Z340" i="65" s="1"/>
  <c r="AA340" i="65" s="1"/>
  <c r="AB340" i="65" s="1"/>
  <c r="AC340" i="65" s="1"/>
  <c r="AD340" i="65" s="1"/>
  <c r="AE340" i="65" s="1"/>
  <c r="AF340" i="65" s="1"/>
  <c r="AG340" i="65" s="1"/>
  <c r="AH307" i="65"/>
  <c r="C307" i="65"/>
  <c r="C308" i="65" s="1"/>
  <c r="C309" i="65" s="1"/>
  <c r="C310" i="65" s="1"/>
  <c r="C311" i="65" s="1"/>
  <c r="C312" i="65" s="1"/>
  <c r="C313" i="65" s="1"/>
  <c r="C314" i="65" s="1"/>
  <c r="C315" i="65" s="1"/>
  <c r="C316" i="65" s="1"/>
  <c r="C317" i="65" s="1"/>
  <c r="C318" i="65" s="1"/>
  <c r="C319" i="65" s="1"/>
  <c r="C320" i="65" s="1"/>
  <c r="C321" i="65" s="1"/>
  <c r="C322" i="65" s="1"/>
  <c r="C323" i="65" s="1"/>
  <c r="C324" i="65" s="1"/>
  <c r="C325" i="65" s="1"/>
  <c r="C326" i="65" s="1"/>
  <c r="C327" i="65" s="1"/>
  <c r="C328" i="65" s="1"/>
  <c r="C329" i="65" s="1"/>
  <c r="C330" i="65" s="1"/>
  <c r="C331" i="65" s="1"/>
  <c r="C332" i="65" s="1"/>
  <c r="C333" i="65" s="1"/>
  <c r="C334" i="65" s="1"/>
  <c r="C335" i="65" s="1"/>
  <c r="C336" i="65" s="1"/>
  <c r="AH306" i="65"/>
  <c r="E305" i="65"/>
  <c r="F305" i="65" s="1"/>
  <c r="G305" i="65" s="1"/>
  <c r="H305" i="65" s="1"/>
  <c r="I305" i="65" s="1"/>
  <c r="J305" i="65" s="1"/>
  <c r="K305" i="65" s="1"/>
  <c r="L305" i="65" s="1"/>
  <c r="M305" i="65" s="1"/>
  <c r="N305" i="65" s="1"/>
  <c r="O305" i="65" s="1"/>
  <c r="P305" i="65" s="1"/>
  <c r="Q305" i="65" s="1"/>
  <c r="R305" i="65" s="1"/>
  <c r="S305" i="65" s="1"/>
  <c r="T305" i="65" s="1"/>
  <c r="U305" i="65" s="1"/>
  <c r="V305" i="65" s="1"/>
  <c r="W305" i="65" s="1"/>
  <c r="X305" i="65" s="1"/>
  <c r="Y305" i="65" s="1"/>
  <c r="Z305" i="65" s="1"/>
  <c r="AA305" i="65" s="1"/>
  <c r="AB305" i="65" s="1"/>
  <c r="AC305" i="65" s="1"/>
  <c r="AD305" i="65" s="1"/>
  <c r="AE305" i="65" s="1"/>
  <c r="AF305" i="65" s="1"/>
  <c r="AG305" i="65" s="1"/>
  <c r="AG336" i="65"/>
  <c r="AG337" i="65" s="1"/>
  <c r="AF336" i="65"/>
  <c r="AF337" i="65" s="1"/>
  <c r="AE335" i="65"/>
  <c r="AE337" i="65" s="1"/>
  <c r="AD334" i="65"/>
  <c r="AD335" i="65" s="1"/>
  <c r="AD336" i="65" s="1"/>
  <c r="AH336" i="65" s="1"/>
  <c r="AC333" i="65"/>
  <c r="AC337" i="65" s="1"/>
  <c r="AB332" i="65"/>
  <c r="AB333" i="65" s="1"/>
  <c r="AB334" i="65" s="1"/>
  <c r="AH334" i="65" s="1"/>
  <c r="AA331" i="65"/>
  <c r="AA337" i="65" s="1"/>
  <c r="Z330" i="65"/>
  <c r="Z331" i="65" s="1"/>
  <c r="Z332" i="65" s="1"/>
  <c r="AH332" i="65" s="1"/>
  <c r="Y329" i="65"/>
  <c r="X328" i="65"/>
  <c r="X329" i="65" s="1"/>
  <c r="X330" i="65" s="1"/>
  <c r="AH330" i="65" s="1"/>
  <c r="W327" i="65"/>
  <c r="W337" i="65" s="1"/>
  <c r="V326" i="65"/>
  <c r="V327" i="65" s="1"/>
  <c r="V328" i="65" s="1"/>
  <c r="AH328" i="65" s="1"/>
  <c r="U325" i="65"/>
  <c r="U337" i="65" s="1"/>
  <c r="T324" i="65"/>
  <c r="T325" i="65" s="1"/>
  <c r="T326" i="65" s="1"/>
  <c r="AH326" i="65" s="1"/>
  <c r="S323" i="65"/>
  <c r="S337" i="65" s="1"/>
  <c r="R322" i="65"/>
  <c r="R323" i="65" s="1"/>
  <c r="R324" i="65" s="1"/>
  <c r="AH324" i="65" s="1"/>
  <c r="Q321" i="65"/>
  <c r="P320" i="65"/>
  <c r="P321" i="65" s="1"/>
  <c r="P322" i="65" s="1"/>
  <c r="AH322" i="65" s="1"/>
  <c r="O319" i="65"/>
  <c r="O337" i="65" s="1"/>
  <c r="N318" i="65"/>
  <c r="N319" i="65" s="1"/>
  <c r="N320" i="65" s="1"/>
  <c r="AH320" i="65" s="1"/>
  <c r="M317" i="65"/>
  <c r="M337" i="65" s="1"/>
  <c r="L316" i="65"/>
  <c r="L317" i="65" s="1"/>
  <c r="L318" i="65" s="1"/>
  <c r="AH318" i="65" s="1"/>
  <c r="K315" i="65"/>
  <c r="K337" i="65" s="1"/>
  <c r="J314" i="65"/>
  <c r="J315" i="65" s="1"/>
  <c r="J316" i="65" s="1"/>
  <c r="AH316" i="65" s="1"/>
  <c r="I313" i="65"/>
  <c r="H312" i="65"/>
  <c r="H313" i="65" s="1"/>
  <c r="H314" i="65" s="1"/>
  <c r="AH314" i="65" s="1"/>
  <c r="G311" i="65"/>
  <c r="G337" i="65" s="1"/>
  <c r="F310" i="65"/>
  <c r="F311" i="65" s="1"/>
  <c r="F312" i="65" s="1"/>
  <c r="AH312" i="65" s="1"/>
  <c r="E309" i="65"/>
  <c r="D308" i="65"/>
  <c r="AH269" i="65"/>
  <c r="C269" i="65"/>
  <c r="C270" i="65" s="1"/>
  <c r="C271" i="65" s="1"/>
  <c r="C272" i="65" s="1"/>
  <c r="C273" i="65" s="1"/>
  <c r="C274" i="65" s="1"/>
  <c r="C275" i="65" s="1"/>
  <c r="C276" i="65" s="1"/>
  <c r="C277" i="65" s="1"/>
  <c r="C278" i="65" s="1"/>
  <c r="C279" i="65" s="1"/>
  <c r="C280" i="65" s="1"/>
  <c r="C281" i="65" s="1"/>
  <c r="C282" i="65" s="1"/>
  <c r="C283" i="65" s="1"/>
  <c r="C284" i="65" s="1"/>
  <c r="C285" i="65" s="1"/>
  <c r="C286" i="65" s="1"/>
  <c r="C287" i="65" s="1"/>
  <c r="C288" i="65" s="1"/>
  <c r="C289" i="65" s="1"/>
  <c r="C290" i="65" s="1"/>
  <c r="C291" i="65" s="1"/>
  <c r="C292" i="65" s="1"/>
  <c r="C293" i="65" s="1"/>
  <c r="C294" i="65" s="1"/>
  <c r="C295" i="65" s="1"/>
  <c r="C296" i="65" s="1"/>
  <c r="C297" i="65" s="1"/>
  <c r="C298" i="65" s="1"/>
  <c r="AH268" i="65"/>
  <c r="E267" i="65"/>
  <c r="F267" i="65" s="1"/>
  <c r="G267" i="65" s="1"/>
  <c r="H267" i="65" s="1"/>
  <c r="I267" i="65" s="1"/>
  <c r="J267" i="65" s="1"/>
  <c r="K267" i="65" s="1"/>
  <c r="L267" i="65" s="1"/>
  <c r="M267" i="65" s="1"/>
  <c r="N267" i="65" s="1"/>
  <c r="O267" i="65" s="1"/>
  <c r="P267" i="65" s="1"/>
  <c r="Q267" i="65" s="1"/>
  <c r="R267" i="65" s="1"/>
  <c r="S267" i="65" s="1"/>
  <c r="T267" i="65" s="1"/>
  <c r="U267" i="65" s="1"/>
  <c r="V267" i="65" s="1"/>
  <c r="W267" i="65" s="1"/>
  <c r="X267" i="65" s="1"/>
  <c r="Y267" i="65" s="1"/>
  <c r="Z267" i="65" s="1"/>
  <c r="AA267" i="65" s="1"/>
  <c r="AB267" i="65" s="1"/>
  <c r="AC267" i="65" s="1"/>
  <c r="AD267" i="65" s="1"/>
  <c r="AE267" i="65" s="1"/>
  <c r="AF267" i="65" s="1"/>
  <c r="AG267" i="65" s="1"/>
  <c r="AG298" i="65"/>
  <c r="AG299" i="65" s="1"/>
  <c r="AF298" i="65"/>
  <c r="AF299" i="65" s="1"/>
  <c r="AE297" i="65"/>
  <c r="AE298" i="65" s="1"/>
  <c r="AD296" i="65"/>
  <c r="AD299" i="65" s="1"/>
  <c r="AC295" i="65"/>
  <c r="AB294" i="65"/>
  <c r="AB299" i="65" s="1"/>
  <c r="AA293" i="65"/>
  <c r="AA294" i="65" s="1"/>
  <c r="AA295" i="65" s="1"/>
  <c r="AA296" i="65" s="1"/>
  <c r="AA297" i="65" s="1"/>
  <c r="AH297" i="65" s="1"/>
  <c r="Z292" i="65"/>
  <c r="Z299" i="65" s="1"/>
  <c r="Y291" i="65"/>
  <c r="X290" i="65"/>
  <c r="X299" i="65" s="1"/>
  <c r="W289" i="65"/>
  <c r="W290" i="65" s="1"/>
  <c r="W291" i="65" s="1"/>
  <c r="W292" i="65" s="1"/>
  <c r="W293" i="65" s="1"/>
  <c r="AH293" i="65" s="1"/>
  <c r="V288" i="65"/>
  <c r="V299" i="65" s="1"/>
  <c r="U287" i="65"/>
  <c r="T286" i="65"/>
  <c r="T299" i="65" s="1"/>
  <c r="S285" i="65"/>
  <c r="S286" i="65" s="1"/>
  <c r="S287" i="65" s="1"/>
  <c r="S288" i="65" s="1"/>
  <c r="S289" i="65" s="1"/>
  <c r="AH289" i="65" s="1"/>
  <c r="R284" i="65"/>
  <c r="R299" i="65" s="1"/>
  <c r="Q283" i="65"/>
  <c r="P282" i="65"/>
  <c r="P299" i="65" s="1"/>
  <c r="O281" i="65"/>
  <c r="O282" i="65" s="1"/>
  <c r="O283" i="65" s="1"/>
  <c r="O284" i="65" s="1"/>
  <c r="O285" i="65" s="1"/>
  <c r="AH285" i="65" s="1"/>
  <c r="N280" i="65"/>
  <c r="N299" i="65" s="1"/>
  <c r="M279" i="65"/>
  <c r="L278" i="65"/>
  <c r="L299" i="65" s="1"/>
  <c r="K277" i="65"/>
  <c r="K278" i="65" s="1"/>
  <c r="K279" i="65" s="1"/>
  <c r="K280" i="65" s="1"/>
  <c r="K281" i="65" s="1"/>
  <c r="AH281" i="65" s="1"/>
  <c r="J276" i="65"/>
  <c r="J299" i="65" s="1"/>
  <c r="I275" i="65"/>
  <c r="H274" i="65"/>
  <c r="G273" i="65"/>
  <c r="G274" i="65" s="1"/>
  <c r="G275" i="65" s="1"/>
  <c r="G276" i="65" s="1"/>
  <c r="G277" i="65" s="1"/>
  <c r="AH277" i="65" s="1"/>
  <c r="F272" i="65"/>
  <c r="F299" i="65" s="1"/>
  <c r="E271" i="65"/>
  <c r="E299" i="65" s="1"/>
  <c r="D270" i="65"/>
  <c r="AH231" i="65"/>
  <c r="C231" i="65"/>
  <c r="C232" i="65" s="1"/>
  <c r="C233" i="65" s="1"/>
  <c r="C234" i="65" s="1"/>
  <c r="C235" i="65" s="1"/>
  <c r="C236" i="65" s="1"/>
  <c r="C237" i="65" s="1"/>
  <c r="C238" i="65" s="1"/>
  <c r="C239" i="65" s="1"/>
  <c r="C240" i="65" s="1"/>
  <c r="C241" i="65" s="1"/>
  <c r="C242" i="65" s="1"/>
  <c r="C243" i="65" s="1"/>
  <c r="C244" i="65" s="1"/>
  <c r="C245" i="65" s="1"/>
  <c r="C246" i="65" s="1"/>
  <c r="C247" i="65" s="1"/>
  <c r="C248" i="65" s="1"/>
  <c r="C249" i="65" s="1"/>
  <c r="C250" i="65" s="1"/>
  <c r="C251" i="65" s="1"/>
  <c r="C252" i="65" s="1"/>
  <c r="C253" i="65" s="1"/>
  <c r="C254" i="65" s="1"/>
  <c r="C255" i="65" s="1"/>
  <c r="C256" i="65" s="1"/>
  <c r="C257" i="65" s="1"/>
  <c r="C258" i="65" s="1"/>
  <c r="C259" i="65" s="1"/>
  <c r="C260" i="65" s="1"/>
  <c r="AH230" i="65"/>
  <c r="E229" i="65"/>
  <c r="F229" i="65" s="1"/>
  <c r="G229" i="65" s="1"/>
  <c r="H229" i="65" s="1"/>
  <c r="I229" i="65" s="1"/>
  <c r="J229" i="65" s="1"/>
  <c r="K229" i="65" s="1"/>
  <c r="L229" i="65" s="1"/>
  <c r="M229" i="65" s="1"/>
  <c r="N229" i="65" s="1"/>
  <c r="O229" i="65" s="1"/>
  <c r="P229" i="65" s="1"/>
  <c r="Q229" i="65" s="1"/>
  <c r="R229" i="65" s="1"/>
  <c r="S229" i="65" s="1"/>
  <c r="T229" i="65" s="1"/>
  <c r="U229" i="65" s="1"/>
  <c r="V229" i="65" s="1"/>
  <c r="W229" i="65" s="1"/>
  <c r="X229" i="65" s="1"/>
  <c r="Y229" i="65" s="1"/>
  <c r="Z229" i="65" s="1"/>
  <c r="AA229" i="65" s="1"/>
  <c r="AB229" i="65" s="1"/>
  <c r="AC229" i="65" s="1"/>
  <c r="AD229" i="65" s="1"/>
  <c r="AE229" i="65" s="1"/>
  <c r="AF229" i="65" s="1"/>
  <c r="AG229" i="65" s="1"/>
  <c r="AG260" i="65"/>
  <c r="AG261" i="65" s="1"/>
  <c r="AF260" i="65"/>
  <c r="AF261" i="65" s="1"/>
  <c r="AE259" i="65"/>
  <c r="AD258" i="65"/>
  <c r="AD259" i="65" s="1"/>
  <c r="AD260" i="65" s="1"/>
  <c r="AC257" i="65"/>
  <c r="AB256" i="65"/>
  <c r="AB257" i="65" s="1"/>
  <c r="AB258" i="65" s="1"/>
  <c r="AB259" i="65" s="1"/>
  <c r="AB260" i="65" s="1"/>
  <c r="AA255" i="65"/>
  <c r="Z254" i="65"/>
  <c r="Z255" i="65" s="1"/>
  <c r="Z256" i="65" s="1"/>
  <c r="Z257" i="65" s="1"/>
  <c r="Z258" i="65" s="1"/>
  <c r="Z259" i="65" s="1"/>
  <c r="Z260" i="65" s="1"/>
  <c r="AH260" i="65" s="1"/>
  <c r="Y253" i="65"/>
  <c r="X252" i="65"/>
  <c r="X253" i="65" s="1"/>
  <c r="X254" i="65" s="1"/>
  <c r="X255" i="65" s="1"/>
  <c r="X256" i="65" s="1"/>
  <c r="X257" i="65" s="1"/>
  <c r="X258" i="65" s="1"/>
  <c r="AH258" i="65" s="1"/>
  <c r="W251" i="65"/>
  <c r="V250" i="65"/>
  <c r="V251" i="65" s="1"/>
  <c r="V252" i="65" s="1"/>
  <c r="V253" i="65" s="1"/>
  <c r="V254" i="65" s="1"/>
  <c r="V255" i="65" s="1"/>
  <c r="V256" i="65" s="1"/>
  <c r="AH256" i="65" s="1"/>
  <c r="U249" i="65"/>
  <c r="T248" i="65"/>
  <c r="T249" i="65" s="1"/>
  <c r="T250" i="65" s="1"/>
  <c r="T251" i="65" s="1"/>
  <c r="T252" i="65" s="1"/>
  <c r="T253" i="65" s="1"/>
  <c r="T254" i="65" s="1"/>
  <c r="AH254" i="65" s="1"/>
  <c r="S247" i="65"/>
  <c r="R246" i="65"/>
  <c r="R247" i="65" s="1"/>
  <c r="R248" i="65" s="1"/>
  <c r="R249" i="65" s="1"/>
  <c r="R250" i="65" s="1"/>
  <c r="R251" i="65" s="1"/>
  <c r="R252" i="65" s="1"/>
  <c r="AH252" i="65" s="1"/>
  <c r="Q245" i="65"/>
  <c r="P244" i="65"/>
  <c r="P245" i="65" s="1"/>
  <c r="P246" i="65" s="1"/>
  <c r="P247" i="65" s="1"/>
  <c r="P248" i="65" s="1"/>
  <c r="P249" i="65" s="1"/>
  <c r="P250" i="65" s="1"/>
  <c r="AH250" i="65" s="1"/>
  <c r="O243" i="65"/>
  <c r="N242" i="65"/>
  <c r="N243" i="65" s="1"/>
  <c r="N244" i="65" s="1"/>
  <c r="N245" i="65" s="1"/>
  <c r="N246" i="65" s="1"/>
  <c r="N247" i="65" s="1"/>
  <c r="N248" i="65" s="1"/>
  <c r="AH248" i="65" s="1"/>
  <c r="M241" i="65"/>
  <c r="L240" i="65"/>
  <c r="L241" i="65" s="1"/>
  <c r="L242" i="65" s="1"/>
  <c r="L243" i="65" s="1"/>
  <c r="L244" i="65" s="1"/>
  <c r="L245" i="65" s="1"/>
  <c r="L246" i="65" s="1"/>
  <c r="AH246" i="65" s="1"/>
  <c r="K239" i="65"/>
  <c r="J238" i="65"/>
  <c r="J261" i="65" s="1"/>
  <c r="I237" i="65"/>
  <c r="H236" i="65"/>
  <c r="H261" i="65" s="1"/>
  <c r="G235" i="65"/>
  <c r="F234" i="65"/>
  <c r="E233" i="65"/>
  <c r="D232" i="65"/>
  <c r="D261" i="65" s="1"/>
  <c r="AH195" i="65"/>
  <c r="C195" i="65"/>
  <c r="C196" i="65" s="1"/>
  <c r="C197" i="65" s="1"/>
  <c r="C198" i="65" s="1"/>
  <c r="C199" i="65" s="1"/>
  <c r="C200" i="65" s="1"/>
  <c r="C201" i="65" s="1"/>
  <c r="C202" i="65" s="1"/>
  <c r="C203" i="65" s="1"/>
  <c r="C204" i="65" s="1"/>
  <c r="C205" i="65" s="1"/>
  <c r="C206" i="65" s="1"/>
  <c r="C207" i="65" s="1"/>
  <c r="C208" i="65" s="1"/>
  <c r="C209" i="65" s="1"/>
  <c r="C210" i="65" s="1"/>
  <c r="C211" i="65" s="1"/>
  <c r="C212" i="65" s="1"/>
  <c r="C213" i="65" s="1"/>
  <c r="C214" i="65" s="1"/>
  <c r="C215" i="65" s="1"/>
  <c r="C216" i="65" s="1"/>
  <c r="C217" i="65" s="1"/>
  <c r="C218" i="65" s="1"/>
  <c r="C219" i="65" s="1"/>
  <c r="C220" i="65" s="1"/>
  <c r="C221" i="65" s="1"/>
  <c r="C222" i="65" s="1"/>
  <c r="C223" i="65" s="1"/>
  <c r="C224" i="65" s="1"/>
  <c r="AH194" i="65"/>
  <c r="E193" i="65"/>
  <c r="F193" i="65" s="1"/>
  <c r="G193" i="65" s="1"/>
  <c r="H193" i="65" s="1"/>
  <c r="I193" i="65" s="1"/>
  <c r="J193" i="65" s="1"/>
  <c r="K193" i="65" s="1"/>
  <c r="L193" i="65" s="1"/>
  <c r="M193" i="65" s="1"/>
  <c r="N193" i="65" s="1"/>
  <c r="O193" i="65" s="1"/>
  <c r="P193" i="65" s="1"/>
  <c r="Q193" i="65" s="1"/>
  <c r="R193" i="65" s="1"/>
  <c r="S193" i="65" s="1"/>
  <c r="T193" i="65" s="1"/>
  <c r="U193" i="65" s="1"/>
  <c r="V193" i="65" s="1"/>
  <c r="W193" i="65" s="1"/>
  <c r="X193" i="65" s="1"/>
  <c r="Y193" i="65" s="1"/>
  <c r="Z193" i="65" s="1"/>
  <c r="AA193" i="65" s="1"/>
  <c r="AB193" i="65" s="1"/>
  <c r="AC193" i="65" s="1"/>
  <c r="AD193" i="65" s="1"/>
  <c r="AE193" i="65" s="1"/>
  <c r="AF193" i="65" s="1"/>
  <c r="AG193" i="65" s="1"/>
  <c r="AG224" i="65"/>
  <c r="AG225" i="65" s="1"/>
  <c r="AF224" i="65"/>
  <c r="AF225" i="65" s="1"/>
  <c r="AE223" i="65"/>
  <c r="AE225" i="65" s="1"/>
  <c r="AC221" i="65"/>
  <c r="AC225" i="65" s="1"/>
  <c r="AB220" i="65"/>
  <c r="AB221" i="65" s="1"/>
  <c r="AB222" i="65" s="1"/>
  <c r="AB223" i="65" s="1"/>
  <c r="AB224" i="65" s="1"/>
  <c r="AA219" i="65"/>
  <c r="AA225" i="65" s="1"/>
  <c r="Z218" i="65"/>
  <c r="Y217" i="65"/>
  <c r="Y225" i="65" s="1"/>
  <c r="X216" i="65"/>
  <c r="X217" i="65" s="1"/>
  <c r="X218" i="65" s="1"/>
  <c r="X219" i="65" s="1"/>
  <c r="X220" i="65" s="1"/>
  <c r="X221" i="65" s="1"/>
  <c r="X222" i="65" s="1"/>
  <c r="X223" i="65" s="1"/>
  <c r="X224" i="65" s="1"/>
  <c r="W215" i="65"/>
  <c r="W225" i="65" s="1"/>
  <c r="V214" i="65"/>
  <c r="U213" i="65"/>
  <c r="U225" i="65" s="1"/>
  <c r="T212" i="65"/>
  <c r="T213" i="65" s="1"/>
  <c r="T214" i="65" s="1"/>
  <c r="T215" i="65" s="1"/>
  <c r="T216" i="65" s="1"/>
  <c r="T217" i="65" s="1"/>
  <c r="T218" i="65" s="1"/>
  <c r="T219" i="65" s="1"/>
  <c r="T220" i="65" s="1"/>
  <c r="T221" i="65" s="1"/>
  <c r="AH221" i="65" s="1"/>
  <c r="S211" i="65"/>
  <c r="S225" i="65" s="1"/>
  <c r="R210" i="65"/>
  <c r="Q209" i="65"/>
  <c r="Q225" i="65" s="1"/>
  <c r="P208" i="65"/>
  <c r="P209" i="65" s="1"/>
  <c r="P210" i="65" s="1"/>
  <c r="P211" i="65" s="1"/>
  <c r="P212" i="65" s="1"/>
  <c r="P213" i="65" s="1"/>
  <c r="P214" i="65" s="1"/>
  <c r="P215" i="65" s="1"/>
  <c r="P216" i="65" s="1"/>
  <c r="P217" i="65" s="1"/>
  <c r="AH217" i="65" s="1"/>
  <c r="O207" i="65"/>
  <c r="O225" i="65" s="1"/>
  <c r="N206" i="65"/>
  <c r="M205" i="65"/>
  <c r="M225" i="65" s="1"/>
  <c r="L204" i="65"/>
  <c r="L205" i="65" s="1"/>
  <c r="L206" i="65" s="1"/>
  <c r="L207" i="65" s="1"/>
  <c r="L208" i="65" s="1"/>
  <c r="L209" i="65" s="1"/>
  <c r="L210" i="65" s="1"/>
  <c r="L211" i="65" s="1"/>
  <c r="L212" i="65" s="1"/>
  <c r="L213" i="65" s="1"/>
  <c r="AH213" i="65" s="1"/>
  <c r="K203" i="65"/>
  <c r="K225" i="65" s="1"/>
  <c r="J202" i="65"/>
  <c r="I201" i="65"/>
  <c r="H200" i="65"/>
  <c r="H201" i="65" s="1"/>
  <c r="H202" i="65" s="1"/>
  <c r="H203" i="65" s="1"/>
  <c r="H204" i="65" s="1"/>
  <c r="H205" i="65" s="1"/>
  <c r="H206" i="65" s="1"/>
  <c r="H207" i="65" s="1"/>
  <c r="H208" i="65" s="1"/>
  <c r="H209" i="65" s="1"/>
  <c r="AH209" i="65" s="1"/>
  <c r="G199" i="65"/>
  <c r="F198" i="65"/>
  <c r="F199" i="65" s="1"/>
  <c r="F200" i="65" s="1"/>
  <c r="F201" i="65" s="1"/>
  <c r="F202" i="65" s="1"/>
  <c r="F203" i="65" s="1"/>
  <c r="F204" i="65" s="1"/>
  <c r="F205" i="65" s="1"/>
  <c r="F206" i="65" s="1"/>
  <c r="F207" i="65" s="1"/>
  <c r="AH207" i="65" s="1"/>
  <c r="E197" i="65"/>
  <c r="AH192" i="65"/>
  <c r="B192" i="65" s="1"/>
  <c r="AH158" i="65"/>
  <c r="C158" i="65"/>
  <c r="C159" i="65" s="1"/>
  <c r="C160" i="65" s="1"/>
  <c r="C161" i="65" s="1"/>
  <c r="C162" i="65" s="1"/>
  <c r="C163" i="65" s="1"/>
  <c r="C164" i="65" s="1"/>
  <c r="C165" i="65" s="1"/>
  <c r="C166" i="65" s="1"/>
  <c r="C167" i="65" s="1"/>
  <c r="C168" i="65" s="1"/>
  <c r="C169" i="65" s="1"/>
  <c r="C170" i="65" s="1"/>
  <c r="C171" i="65" s="1"/>
  <c r="C172" i="65" s="1"/>
  <c r="C173" i="65" s="1"/>
  <c r="C174" i="65" s="1"/>
  <c r="C175" i="65" s="1"/>
  <c r="C176" i="65" s="1"/>
  <c r="C177" i="65" s="1"/>
  <c r="C178" i="65" s="1"/>
  <c r="C179" i="65" s="1"/>
  <c r="C180" i="65" s="1"/>
  <c r="C181" i="65" s="1"/>
  <c r="C182" i="65" s="1"/>
  <c r="C183" i="65" s="1"/>
  <c r="C184" i="65" s="1"/>
  <c r="C185" i="65" s="1"/>
  <c r="C186" i="65" s="1"/>
  <c r="C187" i="65" s="1"/>
  <c r="AH157" i="65"/>
  <c r="E156" i="65"/>
  <c r="F156" i="65" s="1"/>
  <c r="G156" i="65" s="1"/>
  <c r="H156" i="65" s="1"/>
  <c r="I156" i="65" s="1"/>
  <c r="J156" i="65" s="1"/>
  <c r="K156" i="65" s="1"/>
  <c r="L156" i="65" s="1"/>
  <c r="M156" i="65" s="1"/>
  <c r="N156" i="65" s="1"/>
  <c r="O156" i="65" s="1"/>
  <c r="P156" i="65" s="1"/>
  <c r="Q156" i="65" s="1"/>
  <c r="R156" i="65" s="1"/>
  <c r="S156" i="65" s="1"/>
  <c r="T156" i="65" s="1"/>
  <c r="U156" i="65" s="1"/>
  <c r="V156" i="65" s="1"/>
  <c r="W156" i="65" s="1"/>
  <c r="X156" i="65" s="1"/>
  <c r="Y156" i="65" s="1"/>
  <c r="Z156" i="65" s="1"/>
  <c r="AA156" i="65" s="1"/>
  <c r="AB156" i="65" s="1"/>
  <c r="AC156" i="65" s="1"/>
  <c r="AD156" i="65" s="1"/>
  <c r="AE156" i="65" s="1"/>
  <c r="AF156" i="65" s="1"/>
  <c r="AG156" i="65" s="1"/>
  <c r="AG187" i="65"/>
  <c r="AG188" i="65" s="1"/>
  <c r="AF187" i="65"/>
  <c r="AF188" i="65" s="1"/>
  <c r="AE186" i="65"/>
  <c r="AE188" i="65" s="1"/>
  <c r="AD185" i="65"/>
  <c r="AD188" i="65" s="1"/>
  <c r="AC184" i="65"/>
  <c r="AC188" i="65" s="1"/>
  <c r="AB183" i="65"/>
  <c r="AB188" i="65" s="1"/>
  <c r="AA182" i="65"/>
  <c r="AA188" i="65" s="1"/>
  <c r="Z181" i="65"/>
  <c r="Z188" i="65" s="1"/>
  <c r="Y180" i="65"/>
  <c r="Y188" i="65" s="1"/>
  <c r="X179" i="65"/>
  <c r="X180" i="65" s="1"/>
  <c r="X181" i="65" s="1"/>
  <c r="X182" i="65" s="1"/>
  <c r="X183" i="65" s="1"/>
  <c r="X184" i="65" s="1"/>
  <c r="X185" i="65" s="1"/>
  <c r="X186" i="65" s="1"/>
  <c r="X187" i="65" s="1"/>
  <c r="W178" i="65"/>
  <c r="W188" i="65" s="1"/>
  <c r="V177" i="65"/>
  <c r="V188" i="65" s="1"/>
  <c r="U176" i="65"/>
  <c r="U188" i="65" s="1"/>
  <c r="T175" i="65"/>
  <c r="T188" i="65" s="1"/>
  <c r="S174" i="65"/>
  <c r="S188" i="65" s="1"/>
  <c r="R173" i="65"/>
  <c r="Q172" i="65"/>
  <c r="P171" i="65"/>
  <c r="P172" i="65" s="1"/>
  <c r="P173" i="65" s="1"/>
  <c r="P174" i="65" s="1"/>
  <c r="P175" i="65" s="1"/>
  <c r="P176" i="65" s="1"/>
  <c r="P177" i="65" s="1"/>
  <c r="P178" i="65" s="1"/>
  <c r="P179" i="65" s="1"/>
  <c r="P180" i="65" s="1"/>
  <c r="P181" i="65" s="1"/>
  <c r="P182" i="65" s="1"/>
  <c r="AH182" i="65" s="1"/>
  <c r="O170" i="65"/>
  <c r="N169" i="65"/>
  <c r="M168" i="65"/>
  <c r="L167" i="65"/>
  <c r="K166" i="65"/>
  <c r="K188" i="65" s="1"/>
  <c r="J165" i="65"/>
  <c r="I164" i="65"/>
  <c r="H163" i="65"/>
  <c r="H188" i="65" s="1"/>
  <c r="G162" i="65"/>
  <c r="F161" i="65"/>
  <c r="E160" i="65"/>
  <c r="D159" i="65"/>
  <c r="AG151" i="65"/>
  <c r="AH121" i="65"/>
  <c r="C121" i="65"/>
  <c r="C122" i="65" s="1"/>
  <c r="C123" i="65" s="1"/>
  <c r="C124" i="65" s="1"/>
  <c r="C125" i="65" s="1"/>
  <c r="C126" i="65" s="1"/>
  <c r="C127" i="65" s="1"/>
  <c r="C128" i="65" s="1"/>
  <c r="C129" i="65" s="1"/>
  <c r="C130" i="65" s="1"/>
  <c r="C131" i="65" s="1"/>
  <c r="C132" i="65" s="1"/>
  <c r="C133" i="65" s="1"/>
  <c r="C134" i="65" s="1"/>
  <c r="C135" i="65" s="1"/>
  <c r="C136" i="65" s="1"/>
  <c r="C137" i="65" s="1"/>
  <c r="C138" i="65" s="1"/>
  <c r="C139" i="65" s="1"/>
  <c r="C140" i="65" s="1"/>
  <c r="C141" i="65" s="1"/>
  <c r="C142" i="65" s="1"/>
  <c r="C143" i="65" s="1"/>
  <c r="C144" i="65" s="1"/>
  <c r="C145" i="65" s="1"/>
  <c r="C146" i="65" s="1"/>
  <c r="C147" i="65" s="1"/>
  <c r="C148" i="65" s="1"/>
  <c r="C149" i="65" s="1"/>
  <c r="C150" i="65" s="1"/>
  <c r="AH120" i="65"/>
  <c r="E119" i="65"/>
  <c r="F119" i="65" s="1"/>
  <c r="G119" i="65" s="1"/>
  <c r="H119" i="65" s="1"/>
  <c r="I119" i="65" s="1"/>
  <c r="J119" i="65" s="1"/>
  <c r="K119" i="65" s="1"/>
  <c r="L119" i="65" s="1"/>
  <c r="M119" i="65" s="1"/>
  <c r="N119" i="65" s="1"/>
  <c r="O119" i="65" s="1"/>
  <c r="P119" i="65" s="1"/>
  <c r="Q119" i="65" s="1"/>
  <c r="R119" i="65" s="1"/>
  <c r="S119" i="65" s="1"/>
  <c r="T119" i="65" s="1"/>
  <c r="U119" i="65" s="1"/>
  <c r="V119" i="65" s="1"/>
  <c r="W119" i="65" s="1"/>
  <c r="X119" i="65" s="1"/>
  <c r="Y119" i="65" s="1"/>
  <c r="Z119" i="65" s="1"/>
  <c r="AA119" i="65" s="1"/>
  <c r="AB119" i="65" s="1"/>
  <c r="AC119" i="65" s="1"/>
  <c r="AD119" i="65" s="1"/>
  <c r="AE119" i="65" s="1"/>
  <c r="AF119" i="65" s="1"/>
  <c r="AG119" i="65" s="1"/>
  <c r="AF150" i="65"/>
  <c r="AF151" i="65" s="1"/>
  <c r="AE149" i="65"/>
  <c r="AD148" i="65"/>
  <c r="AC147" i="65"/>
  <c r="AB146" i="65"/>
  <c r="AA145" i="65"/>
  <c r="Z144" i="65"/>
  <c r="Y143" i="65"/>
  <c r="X142" i="65"/>
  <c r="W141" i="65"/>
  <c r="V140" i="65"/>
  <c r="V141" i="65" s="1"/>
  <c r="V142" i="65" s="1"/>
  <c r="V143" i="65" s="1"/>
  <c r="V144" i="65" s="1"/>
  <c r="V145" i="65" s="1"/>
  <c r="V146" i="65" s="1"/>
  <c r="V147" i="65" s="1"/>
  <c r="V148" i="65" s="1"/>
  <c r="V149" i="65" s="1"/>
  <c r="V150" i="65" s="1"/>
  <c r="U139" i="65"/>
  <c r="U151" i="65" s="1"/>
  <c r="T138" i="65"/>
  <c r="S137" i="65"/>
  <c r="R136" i="65"/>
  <c r="Q135" i="65"/>
  <c r="Q151" i="65" s="1"/>
  <c r="P134" i="65"/>
  <c r="O133" i="65"/>
  <c r="N132" i="65"/>
  <c r="N133" i="65" s="1"/>
  <c r="N134" i="65" s="1"/>
  <c r="N135" i="65" s="1"/>
  <c r="N136" i="65" s="1"/>
  <c r="N137" i="65" s="1"/>
  <c r="N138" i="65" s="1"/>
  <c r="N139" i="65" s="1"/>
  <c r="N140" i="65" s="1"/>
  <c r="N141" i="65" s="1"/>
  <c r="N142" i="65" s="1"/>
  <c r="N143" i="65" s="1"/>
  <c r="N144" i="65" s="1"/>
  <c r="N145" i="65" s="1"/>
  <c r="N146" i="65" s="1"/>
  <c r="AH146" i="65" s="1"/>
  <c r="M131" i="65"/>
  <c r="L130" i="65"/>
  <c r="K129" i="65"/>
  <c r="K151" i="65" s="1"/>
  <c r="J128" i="65"/>
  <c r="J151" i="65" s="1"/>
  <c r="I127" i="65"/>
  <c r="I151" i="65" s="1"/>
  <c r="H126" i="65"/>
  <c r="G125" i="65"/>
  <c r="F124" i="65"/>
  <c r="F125" i="65" s="1"/>
  <c r="F126" i="65" s="1"/>
  <c r="F127" i="65" s="1"/>
  <c r="F128" i="65" s="1"/>
  <c r="F129" i="65" s="1"/>
  <c r="F130" i="65" s="1"/>
  <c r="F131" i="65" s="1"/>
  <c r="F132" i="65" s="1"/>
  <c r="F133" i="65" s="1"/>
  <c r="F134" i="65" s="1"/>
  <c r="F135" i="65" s="1"/>
  <c r="F136" i="65" s="1"/>
  <c r="F137" i="65" s="1"/>
  <c r="F138" i="65" s="1"/>
  <c r="AH138" i="65" s="1"/>
  <c r="E123" i="65"/>
  <c r="E151" i="65" s="1"/>
  <c r="D122" i="65"/>
  <c r="AH84" i="65"/>
  <c r="AH83" i="65"/>
  <c r="C83" i="65"/>
  <c r="C84" i="65" s="1"/>
  <c r="C85" i="65" s="1"/>
  <c r="C86" i="65" s="1"/>
  <c r="C87" i="65" s="1"/>
  <c r="C88" i="65" s="1"/>
  <c r="C89" i="65" s="1"/>
  <c r="C90" i="65" s="1"/>
  <c r="C91" i="65" s="1"/>
  <c r="C92" i="65" s="1"/>
  <c r="C93" i="65" s="1"/>
  <c r="C94" i="65" s="1"/>
  <c r="C95" i="65" s="1"/>
  <c r="C96" i="65" s="1"/>
  <c r="C97" i="65" s="1"/>
  <c r="C98" i="65" s="1"/>
  <c r="C99" i="65" s="1"/>
  <c r="C100" i="65" s="1"/>
  <c r="C101" i="65" s="1"/>
  <c r="C102" i="65" s="1"/>
  <c r="C103" i="65" s="1"/>
  <c r="C104" i="65" s="1"/>
  <c r="C105" i="65" s="1"/>
  <c r="C106" i="65" s="1"/>
  <c r="C107" i="65" s="1"/>
  <c r="C108" i="65" s="1"/>
  <c r="C109" i="65" s="1"/>
  <c r="C110" i="65" s="1"/>
  <c r="C111" i="65" s="1"/>
  <c r="C112" i="65" s="1"/>
  <c r="C113" i="65" s="1"/>
  <c r="E82" i="65"/>
  <c r="F82" i="65" s="1"/>
  <c r="G82" i="65" s="1"/>
  <c r="H82" i="65" s="1"/>
  <c r="I82" i="65" s="1"/>
  <c r="J82" i="65" s="1"/>
  <c r="K82" i="65" s="1"/>
  <c r="L82" i="65" s="1"/>
  <c r="M82" i="65" s="1"/>
  <c r="N82" i="65" s="1"/>
  <c r="O82" i="65" s="1"/>
  <c r="P82" i="65" s="1"/>
  <c r="Q82" i="65" s="1"/>
  <c r="R82" i="65" s="1"/>
  <c r="S82" i="65" s="1"/>
  <c r="T82" i="65" s="1"/>
  <c r="U82" i="65" s="1"/>
  <c r="V82" i="65" s="1"/>
  <c r="W82" i="65" s="1"/>
  <c r="X82" i="65" s="1"/>
  <c r="Y82" i="65" s="1"/>
  <c r="Z82" i="65" s="1"/>
  <c r="AA82" i="65" s="1"/>
  <c r="AB82" i="65" s="1"/>
  <c r="AC82" i="65" s="1"/>
  <c r="AD82" i="65" s="1"/>
  <c r="AE82" i="65" s="1"/>
  <c r="AF82" i="65" s="1"/>
  <c r="AG82" i="65" s="1"/>
  <c r="AG113" i="65"/>
  <c r="AG114" i="65" s="1"/>
  <c r="AF113" i="65"/>
  <c r="AF114" i="65" s="1"/>
  <c r="AE112" i="65"/>
  <c r="AD111" i="65"/>
  <c r="AC110" i="65"/>
  <c r="AB109" i="65"/>
  <c r="AA108" i="65"/>
  <c r="AA109" i="65" s="1"/>
  <c r="AA110" i="65" s="1"/>
  <c r="AA111" i="65" s="1"/>
  <c r="AA112" i="65" s="1"/>
  <c r="AA113" i="65" s="1"/>
  <c r="Z107" i="65"/>
  <c r="Y106" i="65"/>
  <c r="Y107" i="65" s="1"/>
  <c r="Y108" i="65" s="1"/>
  <c r="Y109" i="65" s="1"/>
  <c r="Y110" i="65" s="1"/>
  <c r="Y111" i="65" s="1"/>
  <c r="Y112" i="65" s="1"/>
  <c r="Y113" i="65" s="1"/>
  <c r="X105" i="65"/>
  <c r="W104" i="65"/>
  <c r="V103" i="65"/>
  <c r="U102" i="65"/>
  <c r="U103" i="65" s="1"/>
  <c r="U104" i="65" s="1"/>
  <c r="U105" i="65" s="1"/>
  <c r="U106" i="65" s="1"/>
  <c r="U107" i="65" s="1"/>
  <c r="U108" i="65" s="1"/>
  <c r="U109" i="65" s="1"/>
  <c r="U110" i="65" s="1"/>
  <c r="U111" i="65" s="1"/>
  <c r="U112" i="65" s="1"/>
  <c r="U113" i="65" s="1"/>
  <c r="T101" i="65"/>
  <c r="S100" i="65"/>
  <c r="R99" i="65"/>
  <c r="Q98" i="65"/>
  <c r="Q99" i="65" s="1"/>
  <c r="Q100" i="65" s="1"/>
  <c r="Q101" i="65" s="1"/>
  <c r="Q102" i="65" s="1"/>
  <c r="Q103" i="65" s="1"/>
  <c r="Q104" i="65" s="1"/>
  <c r="Q105" i="65" s="1"/>
  <c r="Q106" i="65" s="1"/>
  <c r="Q107" i="65" s="1"/>
  <c r="Q108" i="65" s="1"/>
  <c r="Q109" i="65" s="1"/>
  <c r="Q110" i="65" s="1"/>
  <c r="Q111" i="65" s="1"/>
  <c r="Q112" i="65" s="1"/>
  <c r="Q113" i="65" s="1"/>
  <c r="P97" i="65"/>
  <c r="O96" i="65"/>
  <c r="N95" i="65"/>
  <c r="M94" i="65"/>
  <c r="M95" i="65" s="1"/>
  <c r="M96" i="65" s="1"/>
  <c r="M97" i="65" s="1"/>
  <c r="M98" i="65" s="1"/>
  <c r="M99" i="65" s="1"/>
  <c r="M100" i="65" s="1"/>
  <c r="M101" i="65" s="1"/>
  <c r="M102" i="65" s="1"/>
  <c r="M103" i="65" s="1"/>
  <c r="M104" i="65" s="1"/>
  <c r="M105" i="65" s="1"/>
  <c r="M106" i="65" s="1"/>
  <c r="M107" i="65" s="1"/>
  <c r="M108" i="65" s="1"/>
  <c r="M109" i="65" s="1"/>
  <c r="M110" i="65" s="1"/>
  <c r="M111" i="65" s="1"/>
  <c r="M112" i="65" s="1"/>
  <c r="M113" i="65" s="1"/>
  <c r="AH113" i="65" s="1"/>
  <c r="L93" i="65"/>
  <c r="K92" i="65"/>
  <c r="J91" i="65"/>
  <c r="I90" i="65"/>
  <c r="I91" i="65" s="1"/>
  <c r="I92" i="65" s="1"/>
  <c r="I93" i="65" s="1"/>
  <c r="I94" i="65" s="1"/>
  <c r="I95" i="65" s="1"/>
  <c r="I96" i="65" s="1"/>
  <c r="I97" i="65" s="1"/>
  <c r="I98" i="65" s="1"/>
  <c r="I99" i="65" s="1"/>
  <c r="I100" i="65" s="1"/>
  <c r="I101" i="65" s="1"/>
  <c r="I102" i="65" s="1"/>
  <c r="I103" i="65" s="1"/>
  <c r="I104" i="65" s="1"/>
  <c r="I105" i="65" s="1"/>
  <c r="I106" i="65" s="1"/>
  <c r="I107" i="65" s="1"/>
  <c r="I108" i="65" s="1"/>
  <c r="I109" i="65" s="1"/>
  <c r="AH109" i="65" s="1"/>
  <c r="H89" i="65"/>
  <c r="G88" i="65"/>
  <c r="G114" i="65" s="1"/>
  <c r="F87" i="65"/>
  <c r="E86" i="65"/>
  <c r="AH47" i="65"/>
  <c r="C47" i="65"/>
  <c r="C48" i="65" s="1"/>
  <c r="C49" i="65" s="1"/>
  <c r="C50" i="65" s="1"/>
  <c r="C51" i="65" s="1"/>
  <c r="C52" i="65" s="1"/>
  <c r="C53" i="65" s="1"/>
  <c r="C54" i="65" s="1"/>
  <c r="C55" i="65" s="1"/>
  <c r="C56" i="65" s="1"/>
  <c r="C57" i="65" s="1"/>
  <c r="C58" i="65" s="1"/>
  <c r="C59" i="65" s="1"/>
  <c r="C60" i="65" s="1"/>
  <c r="C61" i="65" s="1"/>
  <c r="C62" i="65" s="1"/>
  <c r="C63" i="65" s="1"/>
  <c r="C64" i="65" s="1"/>
  <c r="C65" i="65" s="1"/>
  <c r="C66" i="65" s="1"/>
  <c r="C67" i="65" s="1"/>
  <c r="C68" i="65" s="1"/>
  <c r="C69" i="65" s="1"/>
  <c r="C70" i="65" s="1"/>
  <c r="C71" i="65" s="1"/>
  <c r="C72" i="65" s="1"/>
  <c r="C73" i="65" s="1"/>
  <c r="C74" i="65" s="1"/>
  <c r="C75" i="65" s="1"/>
  <c r="C76" i="65" s="1"/>
  <c r="E45" i="65"/>
  <c r="E46" i="65" s="1"/>
  <c r="AH46" i="65" s="1"/>
  <c r="AG76" i="65"/>
  <c r="AG77" i="65" s="1"/>
  <c r="AF76" i="65"/>
  <c r="AF77" i="65" s="1"/>
  <c r="AE75" i="65"/>
  <c r="AE77" i="65" s="1"/>
  <c r="AD74" i="65"/>
  <c r="AC73" i="65"/>
  <c r="AB72" i="65"/>
  <c r="AA71" i="65"/>
  <c r="AA77" i="65" s="1"/>
  <c r="Z70" i="65"/>
  <c r="Y69" i="65"/>
  <c r="X68" i="65"/>
  <c r="W67" i="65"/>
  <c r="V66" i="65"/>
  <c r="U65" i="65"/>
  <c r="T64" i="65"/>
  <c r="S63" i="65"/>
  <c r="R62" i="65"/>
  <c r="Q61" i="65"/>
  <c r="P60" i="65"/>
  <c r="O59" i="65"/>
  <c r="N58" i="65"/>
  <c r="M57" i="65"/>
  <c r="L56" i="65"/>
  <c r="K55" i="65"/>
  <c r="J54" i="65"/>
  <c r="I53" i="65"/>
  <c r="H52" i="65"/>
  <c r="G51" i="65"/>
  <c r="F50" i="65"/>
  <c r="E49" i="65"/>
  <c r="C10" i="65"/>
  <c r="C11" i="65" s="1"/>
  <c r="C12" i="65" s="1"/>
  <c r="C13" i="65" s="1"/>
  <c r="C14" i="65" s="1"/>
  <c r="C15" i="65" s="1"/>
  <c r="C16" i="65" s="1"/>
  <c r="C17" i="65" s="1"/>
  <c r="C18" i="65" s="1"/>
  <c r="C19" i="65" s="1"/>
  <c r="C20" i="65" s="1"/>
  <c r="C21" i="65" s="1"/>
  <c r="C22" i="65" s="1"/>
  <c r="C23" i="65" s="1"/>
  <c r="C24" i="65" s="1"/>
  <c r="C25" i="65" s="1"/>
  <c r="C26" i="65" s="1"/>
  <c r="C27" i="65" s="1"/>
  <c r="C28" i="65" s="1"/>
  <c r="C29" i="65" s="1"/>
  <c r="C30" i="65" s="1"/>
  <c r="C31" i="65" s="1"/>
  <c r="C32" i="65" s="1"/>
  <c r="C33" i="65" s="1"/>
  <c r="C34" i="65" s="1"/>
  <c r="C35" i="65" s="1"/>
  <c r="C36" i="65" s="1"/>
  <c r="C37" i="65" s="1"/>
  <c r="C38" i="65" s="1"/>
  <c r="C39" i="65" s="1"/>
  <c r="D9" i="65"/>
  <c r="E8" i="65"/>
  <c r="E9" i="65" s="1"/>
  <c r="E3" i="65"/>
  <c r="F3" i="65" s="1"/>
  <c r="G3" i="65" s="1"/>
  <c r="H3" i="65" s="1"/>
  <c r="I3" i="65" s="1"/>
  <c r="J3" i="65" s="1"/>
  <c r="K3" i="65" s="1"/>
  <c r="L3" i="65" s="1"/>
  <c r="M3" i="65" s="1"/>
  <c r="N3" i="65" s="1"/>
  <c r="O3" i="65" s="1"/>
  <c r="P3" i="65" s="1"/>
  <c r="Q3" i="65" s="1"/>
  <c r="R3" i="65" s="1"/>
  <c r="S3" i="65" s="1"/>
  <c r="T3" i="65" s="1"/>
  <c r="U3" i="65" s="1"/>
  <c r="V3" i="65" s="1"/>
  <c r="W3" i="65" s="1"/>
  <c r="X3" i="65" s="1"/>
  <c r="Y3" i="65" s="1"/>
  <c r="Z3" i="65" s="1"/>
  <c r="AA3" i="65" s="1"/>
  <c r="AB3" i="65" s="1"/>
  <c r="AC3" i="65" s="1"/>
  <c r="AD3" i="65" s="1"/>
  <c r="AE3" i="65" s="1"/>
  <c r="AF3" i="65" s="1"/>
  <c r="AG3" i="65" s="1"/>
  <c r="E2" i="65"/>
  <c r="F2" i="65" s="1"/>
  <c r="G2" i="65" s="1"/>
  <c r="H2" i="65" s="1"/>
  <c r="I2" i="65" s="1"/>
  <c r="J2" i="65" s="1"/>
  <c r="K2" i="65" s="1"/>
  <c r="L2" i="65" s="1"/>
  <c r="M2" i="65" s="1"/>
  <c r="N2" i="65" s="1"/>
  <c r="O2" i="65" s="1"/>
  <c r="P2" i="65" s="1"/>
  <c r="Q2" i="65" s="1"/>
  <c r="R2" i="65" s="1"/>
  <c r="S2" i="65" s="1"/>
  <c r="T2" i="65" s="1"/>
  <c r="U2" i="65" s="1"/>
  <c r="V2" i="65" s="1"/>
  <c r="W2" i="65" s="1"/>
  <c r="X2" i="65" s="1"/>
  <c r="Y2" i="65" s="1"/>
  <c r="Z2" i="65" s="1"/>
  <c r="AA2" i="65" s="1"/>
  <c r="AB2" i="65" s="1"/>
  <c r="AC2" i="65" s="1"/>
  <c r="AD2" i="65" s="1"/>
  <c r="AE2" i="65" s="1"/>
  <c r="AF2" i="65" s="1"/>
  <c r="AG2" i="65" s="1"/>
  <c r="N35" i="60"/>
  <c r="M35" i="60"/>
  <c r="F34" i="60"/>
  <c r="AF20" i="82" s="1"/>
  <c r="J35" i="59"/>
  <c r="E11" i="59"/>
  <c r="E12" i="59" s="1"/>
  <c r="E13" i="59" s="1"/>
  <c r="E14" i="59" s="1"/>
  <c r="E15" i="59" s="1"/>
  <c r="E16" i="59" s="1"/>
  <c r="E17" i="59" s="1"/>
  <c r="E18" i="59" s="1"/>
  <c r="E19" i="59" s="1"/>
  <c r="E20" i="59" s="1"/>
  <c r="E21" i="59" s="1"/>
  <c r="E22" i="59" s="1"/>
  <c r="E23" i="59" s="1"/>
  <c r="E24" i="59" s="1"/>
  <c r="E25" i="59" s="1"/>
  <c r="E26" i="59" s="1"/>
  <c r="E27" i="59" s="1"/>
  <c r="E28" i="59" s="1"/>
  <c r="E29" i="59" s="1"/>
  <c r="E30" i="59" s="1"/>
  <c r="E31" i="59" s="1"/>
  <c r="E32" i="59" s="1"/>
  <c r="E33" i="59" s="1"/>
  <c r="E34" i="59" s="1"/>
  <c r="I40" i="57"/>
  <c r="AG37" i="57"/>
  <c r="AC37" i="57"/>
  <c r="AA37" i="57"/>
  <c r="AE36" i="57"/>
  <c r="AE35" i="57"/>
  <c r="AE34" i="57"/>
  <c r="AE33" i="57"/>
  <c r="AE32" i="57"/>
  <c r="AE31" i="57"/>
  <c r="AE30" i="57"/>
  <c r="AE29" i="57"/>
  <c r="AE28" i="57"/>
  <c r="AE27" i="57"/>
  <c r="AE26" i="57"/>
  <c r="AE25" i="57"/>
  <c r="AE24" i="57"/>
  <c r="AE23" i="57"/>
  <c r="AE22" i="57"/>
  <c r="AE21" i="57"/>
  <c r="AE20" i="57"/>
  <c r="AE19" i="57"/>
  <c r="AE18" i="57"/>
  <c r="AE17" i="57"/>
  <c r="AE15" i="57"/>
  <c r="AE13" i="57"/>
  <c r="AE12" i="57"/>
  <c r="AE11" i="57"/>
  <c r="AE10" i="57"/>
  <c r="AE9" i="57"/>
  <c r="AE8" i="57"/>
  <c r="W8" i="57"/>
  <c r="P8" i="57"/>
  <c r="AE7" i="57"/>
  <c r="W7" i="57"/>
  <c r="P7" i="57"/>
  <c r="AE6" i="57"/>
  <c r="W6" i="57"/>
  <c r="P6" i="57"/>
  <c r="AE5" i="57"/>
  <c r="P5" i="57"/>
  <c r="I2" i="57"/>
  <c r="F90" i="66"/>
  <c r="F89" i="66"/>
  <c r="F88" i="66"/>
  <c r="F87" i="66"/>
  <c r="F86" i="66"/>
  <c r="F84" i="66"/>
  <c r="F76" i="66"/>
  <c r="F73" i="66"/>
  <c r="F72" i="66"/>
  <c r="F71" i="66"/>
  <c r="F66" i="66"/>
  <c r="F65" i="66"/>
  <c r="F64" i="66"/>
  <c r="F63" i="66"/>
  <c r="F62" i="66"/>
  <c r="F61" i="66"/>
  <c r="F58" i="66"/>
  <c r="F57" i="66"/>
  <c r="F56" i="66"/>
  <c r="F54" i="66"/>
  <c r="F51" i="66"/>
  <c r="F47" i="66"/>
  <c r="F46" i="66"/>
  <c r="F45" i="66"/>
  <c r="F43" i="66"/>
  <c r="F42" i="66"/>
  <c r="F38" i="66"/>
  <c r="F36" i="66"/>
  <c r="F35" i="66"/>
  <c r="F34" i="66"/>
  <c r="F33" i="66"/>
  <c r="F32" i="66"/>
  <c r="F31" i="66"/>
  <c r="F30" i="66"/>
  <c r="F29" i="66"/>
  <c r="F28" i="66"/>
  <c r="F27" i="66"/>
  <c r="F26" i="66"/>
  <c r="F25" i="66"/>
  <c r="F23" i="66"/>
  <c r="F22" i="66"/>
  <c r="F21" i="66"/>
  <c r="F20" i="66"/>
  <c r="F19" i="66"/>
  <c r="F18" i="66"/>
  <c r="F17" i="66"/>
  <c r="F16" i="66"/>
  <c r="F15" i="66"/>
  <c r="F14" i="66"/>
  <c r="F13" i="66"/>
  <c r="F12" i="66"/>
  <c r="F9" i="66"/>
  <c r="F8" i="66"/>
  <c r="F7" i="66"/>
  <c r="F6" i="66"/>
  <c r="F5" i="66"/>
  <c r="G28" i="56"/>
  <c r="H26" i="56"/>
  <c r="G26" i="56"/>
  <c r="H25" i="56"/>
  <c r="G25" i="56"/>
  <c r="H24" i="56"/>
  <c r="G24" i="56"/>
  <c r="H23" i="56"/>
  <c r="G23" i="56"/>
  <c r="H22" i="56"/>
  <c r="G22" i="56"/>
  <c r="H21" i="56"/>
  <c r="G21" i="56"/>
  <c r="H20" i="56"/>
  <c r="G20" i="56"/>
  <c r="H19" i="56"/>
  <c r="G19" i="56"/>
  <c r="H18" i="56"/>
  <c r="G18" i="56"/>
  <c r="H17" i="56"/>
  <c r="G17" i="56"/>
  <c r="H16" i="56"/>
  <c r="G16" i="56"/>
  <c r="H15" i="56"/>
  <c r="G15" i="56"/>
  <c r="H14" i="56"/>
  <c r="G14" i="56"/>
  <c r="H13" i="56"/>
  <c r="G13" i="56"/>
  <c r="H12" i="56"/>
  <c r="G12" i="56"/>
  <c r="H11" i="56"/>
  <c r="G11" i="56"/>
  <c r="H10" i="56"/>
  <c r="G10" i="56"/>
  <c r="H9" i="56"/>
  <c r="G9" i="56"/>
  <c r="H8" i="56"/>
  <c r="G8" i="56"/>
  <c r="H7" i="56"/>
  <c r="G7" i="56"/>
  <c r="H6" i="56"/>
  <c r="G6" i="56"/>
  <c r="O1" i="57"/>
  <c r="D9" i="52"/>
  <c r="D10" i="52" s="1"/>
  <c r="D11" i="52" s="1"/>
  <c r="D12" i="52" s="1"/>
  <c r="D13" i="52" s="1"/>
  <c r="D14" i="52" s="1"/>
  <c r="D15" i="52" s="1"/>
  <c r="D16" i="52" s="1"/>
  <c r="D17" i="52" s="1"/>
  <c r="D18" i="52" s="1"/>
  <c r="D19" i="52" s="1"/>
  <c r="D20" i="52" s="1"/>
  <c r="D21" i="52" s="1"/>
  <c r="D22" i="52" s="1"/>
  <c r="D23" i="52" s="1"/>
  <c r="D24" i="52" s="1"/>
  <c r="D25" i="52" s="1"/>
  <c r="D26" i="52" s="1"/>
  <c r="D27" i="52" s="1"/>
  <c r="D28" i="52" s="1"/>
  <c r="D29" i="52" s="1"/>
  <c r="D30" i="52" s="1"/>
  <c r="D31" i="52" s="1"/>
  <c r="D32" i="52" s="1"/>
  <c r="D33" i="52" s="1"/>
  <c r="C9" i="52"/>
  <c r="C10" i="52" s="1"/>
  <c r="C11" i="52" s="1"/>
  <c r="C12" i="52" s="1"/>
  <c r="C13" i="52" s="1"/>
  <c r="C14" i="52" s="1"/>
  <c r="C15" i="52" s="1"/>
  <c r="C16" i="52" s="1"/>
  <c r="C17" i="52" s="1"/>
  <c r="C18" i="52" s="1"/>
  <c r="C19" i="52" s="1"/>
  <c r="C20" i="52" s="1"/>
  <c r="C21" i="52" s="1"/>
  <c r="C22" i="52" s="1"/>
  <c r="C23" i="52" s="1"/>
  <c r="C24" i="52" s="1"/>
  <c r="C25" i="52" s="1"/>
  <c r="C26" i="52" s="1"/>
  <c r="C27" i="52" s="1"/>
  <c r="C28" i="52" s="1"/>
  <c r="C29" i="52" s="1"/>
  <c r="C30" i="52" s="1"/>
  <c r="C31" i="52" s="1"/>
  <c r="C32" i="52" s="1"/>
  <c r="C33" i="52" s="1"/>
  <c r="D39" i="55"/>
  <c r="D40" i="55" s="1"/>
  <c r="D41" i="55" s="1"/>
  <c r="D42" i="55" s="1"/>
  <c r="D43" i="55" s="1"/>
  <c r="D44" i="55" s="1"/>
  <c r="D45" i="55" s="1"/>
  <c r="D46" i="55" s="1"/>
  <c r="D47" i="55" s="1"/>
  <c r="D48" i="55" s="1"/>
  <c r="D49" i="55" s="1"/>
  <c r="D50" i="55" s="1"/>
  <c r="D51" i="55" s="1"/>
  <c r="D52" i="55" s="1"/>
  <c r="D53" i="55" s="1"/>
  <c r="D54" i="55" s="1"/>
  <c r="D55" i="55" s="1"/>
  <c r="D56" i="55" s="1"/>
  <c r="D57" i="55" s="1"/>
  <c r="D58" i="55" s="1"/>
  <c r="D59" i="55" s="1"/>
  <c r="D60" i="55" s="1"/>
  <c r="D61" i="55" s="1"/>
  <c r="D62" i="55" s="1"/>
  <c r="D63" i="55" s="1"/>
  <c r="D64" i="55" s="1"/>
  <c r="D65" i="55" s="1"/>
  <c r="D66" i="55" s="1"/>
  <c r="D67" i="55" s="1"/>
  <c r="F66" i="55"/>
  <c r="D5" i="55"/>
  <c r="D6" i="55" s="1"/>
  <c r="D7" i="55" s="1"/>
  <c r="D8" i="55" s="1"/>
  <c r="D9" i="55" s="1"/>
  <c r="D10" i="55" s="1"/>
  <c r="D11" i="55" s="1"/>
  <c r="D12" i="55" s="1"/>
  <c r="D13" i="55" s="1"/>
  <c r="D14" i="55" s="1"/>
  <c r="D15" i="55" s="1"/>
  <c r="D16" i="55" s="1"/>
  <c r="D17" i="55" s="1"/>
  <c r="D18" i="55" s="1"/>
  <c r="D19" i="55" s="1"/>
  <c r="D20" i="55" s="1"/>
  <c r="D21" i="55" s="1"/>
  <c r="D22" i="55" s="1"/>
  <c r="D23" i="55" s="1"/>
  <c r="D24" i="55" s="1"/>
  <c r="D25" i="55" s="1"/>
  <c r="D26" i="55" s="1"/>
  <c r="D27" i="55" s="1"/>
  <c r="D28" i="55" s="1"/>
  <c r="D29" i="55" s="1"/>
  <c r="D30" i="55" s="1"/>
  <c r="D31" i="55" s="1"/>
  <c r="D32" i="55" s="1"/>
  <c r="D33" i="55" s="1"/>
  <c r="C5" i="55"/>
  <c r="C6" i="55" s="1"/>
  <c r="C7" i="55" s="1"/>
  <c r="C8" i="55" s="1"/>
  <c r="C9" i="55" s="1"/>
  <c r="C10" i="55" s="1"/>
  <c r="C11" i="55" s="1"/>
  <c r="C12" i="55" s="1"/>
  <c r="C13" i="55" s="1"/>
  <c r="C14" i="55" s="1"/>
  <c r="C15" i="55" s="1"/>
  <c r="C16" i="55" s="1"/>
  <c r="C17" i="55" s="1"/>
  <c r="C18" i="55" s="1"/>
  <c r="C19" i="55" s="1"/>
  <c r="C20" i="55" s="1"/>
  <c r="C21" i="55" s="1"/>
  <c r="C22" i="55" s="1"/>
  <c r="C23" i="55" s="1"/>
  <c r="C24" i="55" s="1"/>
  <c r="C25" i="55" s="1"/>
  <c r="C26" i="55" s="1"/>
  <c r="C27" i="55" s="1"/>
  <c r="C28" i="55" s="1"/>
  <c r="C29" i="55" s="1"/>
  <c r="C30" i="55" s="1"/>
  <c r="C31" i="55" s="1"/>
  <c r="C32" i="55" s="1"/>
  <c r="C33" i="55" s="1"/>
  <c r="F71" i="54"/>
  <c r="F70" i="54"/>
  <c r="F69" i="54"/>
  <c r="F68" i="54"/>
  <c r="F67" i="54"/>
  <c r="F66" i="54"/>
  <c r="F65" i="54"/>
  <c r="F64" i="54"/>
  <c r="F63" i="54"/>
  <c r="F62" i="54"/>
  <c r="F61" i="54"/>
  <c r="F60" i="54"/>
  <c r="F59" i="54"/>
  <c r="F58" i="54"/>
  <c r="F57" i="54"/>
  <c r="F56" i="54"/>
  <c r="F55" i="54"/>
  <c r="F54" i="54"/>
  <c r="F53" i="54"/>
  <c r="F52" i="54"/>
  <c r="F51" i="54"/>
  <c r="F50" i="54"/>
  <c r="F49" i="54"/>
  <c r="F48" i="54"/>
  <c r="F47" i="54"/>
  <c r="F46" i="54"/>
  <c r="F45" i="54"/>
  <c r="F44" i="54"/>
  <c r="F43" i="54"/>
  <c r="D43" i="54"/>
  <c r="D44" i="54" s="1"/>
  <c r="F42" i="54"/>
  <c r="D5" i="54"/>
  <c r="D6" i="54" s="1"/>
  <c r="D7" i="54" s="1"/>
  <c r="D8" i="54" s="1"/>
  <c r="D9" i="54" s="1"/>
  <c r="D10" i="54" s="1"/>
  <c r="D11" i="54" s="1"/>
  <c r="D12" i="54" s="1"/>
  <c r="D13" i="54" s="1"/>
  <c r="D14" i="54" s="1"/>
  <c r="D15" i="54" s="1"/>
  <c r="D16" i="54" s="1"/>
  <c r="D17" i="54" s="1"/>
  <c r="D18" i="54" s="1"/>
  <c r="D19" i="54" s="1"/>
  <c r="D20" i="54" s="1"/>
  <c r="D21" i="54" s="1"/>
  <c r="D22" i="54" s="1"/>
  <c r="D23" i="54" s="1"/>
  <c r="D24" i="54" s="1"/>
  <c r="D25" i="54" s="1"/>
  <c r="D26" i="54" s="1"/>
  <c r="D27" i="54" s="1"/>
  <c r="D28" i="54" s="1"/>
  <c r="D29" i="54" s="1"/>
  <c r="D30" i="54" s="1"/>
  <c r="D31" i="54" s="1"/>
  <c r="D32" i="54" s="1"/>
  <c r="D33" i="54" s="1"/>
  <c r="C5" i="54"/>
  <c r="C6" i="54" s="1"/>
  <c r="C7" i="54" s="1"/>
  <c r="C8" i="54" s="1"/>
  <c r="C9" i="54" s="1"/>
  <c r="C10" i="54" s="1"/>
  <c r="C11" i="54" s="1"/>
  <c r="C12" i="54" s="1"/>
  <c r="C13" i="54" s="1"/>
  <c r="C14" i="54" s="1"/>
  <c r="C15" i="54" s="1"/>
  <c r="C16" i="54" s="1"/>
  <c r="C17" i="54" s="1"/>
  <c r="C18" i="54" s="1"/>
  <c r="C19" i="54" s="1"/>
  <c r="C20" i="54" s="1"/>
  <c r="C21" i="54" s="1"/>
  <c r="C22" i="54" s="1"/>
  <c r="C23" i="54" s="1"/>
  <c r="C24" i="54" s="1"/>
  <c r="C25" i="54" s="1"/>
  <c r="C26" i="54" s="1"/>
  <c r="C27" i="54" s="1"/>
  <c r="C28" i="54" s="1"/>
  <c r="C29" i="54" s="1"/>
  <c r="C30" i="54" s="1"/>
  <c r="C31" i="54" s="1"/>
  <c r="C32" i="54" s="1"/>
  <c r="C33" i="54" s="1"/>
  <c r="F77" i="32"/>
  <c r="D47" i="32"/>
  <c r="D48" i="32" s="1"/>
  <c r="E46" i="32"/>
  <c r="C46" i="32" s="1"/>
  <c r="L34" i="32"/>
  <c r="D5" i="32"/>
  <c r="D6" i="32" s="1"/>
  <c r="D7" i="32" s="1"/>
  <c r="D8" i="32" s="1"/>
  <c r="D9" i="32" s="1"/>
  <c r="D10" i="32" s="1"/>
  <c r="D11" i="32" s="1"/>
  <c r="D12" i="32" s="1"/>
  <c r="D13" i="32" s="1"/>
  <c r="D14" i="32" s="1"/>
  <c r="D15" i="32" s="1"/>
  <c r="D16" i="32" s="1"/>
  <c r="D17" i="32" s="1"/>
  <c r="D18" i="32" s="1"/>
  <c r="D19" i="32" s="1"/>
  <c r="D20" i="32" s="1"/>
  <c r="D21" i="32" s="1"/>
  <c r="D22" i="32" s="1"/>
  <c r="D23" i="32" s="1"/>
  <c r="D24" i="32" s="1"/>
  <c r="D25" i="32" s="1"/>
  <c r="D26" i="32" s="1"/>
  <c r="D27" i="32" s="1"/>
  <c r="D28" i="32" s="1"/>
  <c r="D29" i="32" s="1"/>
  <c r="D30" i="32" s="1"/>
  <c r="D31" i="32" s="1"/>
  <c r="D32" i="32" s="1"/>
  <c r="D33" i="32" s="1"/>
  <c r="X33" i="47"/>
  <c r="V33" i="47"/>
  <c r="W33" i="47" s="1"/>
  <c r="X32" i="47"/>
  <c r="V32" i="47"/>
  <c r="W32" i="47" s="1"/>
  <c r="X31" i="47"/>
  <c r="V31" i="47"/>
  <c r="W31" i="47" s="1"/>
  <c r="X30" i="47"/>
  <c r="V30" i="47"/>
  <c r="W30" i="47" s="1"/>
  <c r="X29" i="47"/>
  <c r="V29" i="47"/>
  <c r="W29" i="47" s="1"/>
  <c r="X28" i="47"/>
  <c r="V28" i="47"/>
  <c r="W28" i="47" s="1"/>
  <c r="X27" i="47"/>
  <c r="V27" i="47"/>
  <c r="W27" i="47" s="1"/>
  <c r="X26" i="47"/>
  <c r="V26" i="47"/>
  <c r="W26" i="47" s="1"/>
  <c r="X25" i="47"/>
  <c r="V25" i="47"/>
  <c r="W25" i="47" s="1"/>
  <c r="X24" i="47"/>
  <c r="V24" i="47"/>
  <c r="W24" i="47" s="1"/>
  <c r="X23" i="47"/>
  <c r="V23" i="47"/>
  <c r="W23" i="47" s="1"/>
  <c r="X22" i="47"/>
  <c r="V22" i="47"/>
  <c r="W22" i="47" s="1"/>
  <c r="X21" i="47"/>
  <c r="V21" i="47"/>
  <c r="W21" i="47" s="1"/>
  <c r="X20" i="47"/>
  <c r="V20" i="47"/>
  <c r="W20" i="47" s="1"/>
  <c r="X19" i="47"/>
  <c r="V19" i="47"/>
  <c r="W19" i="47" s="1"/>
  <c r="X18" i="47"/>
  <c r="V18" i="47"/>
  <c r="W18" i="47" s="1"/>
  <c r="X17" i="47"/>
  <c r="V17" i="47"/>
  <c r="W17" i="47" s="1"/>
  <c r="X16" i="47"/>
  <c r="V16" i="47"/>
  <c r="W16" i="47" s="1"/>
  <c r="X15" i="47"/>
  <c r="V15" i="47"/>
  <c r="W15" i="47" s="1"/>
  <c r="X14" i="47"/>
  <c r="V14" i="47"/>
  <c r="W14" i="47" s="1"/>
  <c r="X13" i="47"/>
  <c r="V13" i="47"/>
  <c r="W13" i="47" s="1"/>
  <c r="X12" i="47"/>
  <c r="V12" i="47"/>
  <c r="W12" i="47" s="1"/>
  <c r="X11" i="47"/>
  <c r="V11" i="47"/>
  <c r="W11" i="47" s="1"/>
  <c r="X10" i="47"/>
  <c r="V10" i="47"/>
  <c r="W10" i="47" s="1"/>
  <c r="X9" i="47"/>
  <c r="V9" i="47"/>
  <c r="W9" i="47" s="1"/>
  <c r="X8" i="47"/>
  <c r="V8" i="47"/>
  <c r="W8" i="47" s="1"/>
  <c r="X7" i="47"/>
  <c r="W7" i="47"/>
  <c r="X6" i="47"/>
  <c r="W6" i="47"/>
  <c r="X5" i="47"/>
  <c r="W5" i="47"/>
  <c r="X4" i="47"/>
  <c r="W4" i="47"/>
  <c r="C17" i="29"/>
  <c r="E17" i="29" s="1"/>
  <c r="C18" i="60" s="1"/>
  <c r="E16" i="29"/>
  <c r="C17" i="60" s="1"/>
  <c r="E15" i="29"/>
  <c r="C16" i="60" s="1"/>
  <c r="E14" i="29"/>
  <c r="C15" i="60" s="1"/>
  <c r="E13" i="29"/>
  <c r="C14" i="60" s="1"/>
  <c r="E12" i="29"/>
  <c r="C13" i="60" s="1"/>
  <c r="E11" i="29"/>
  <c r="E10" i="29"/>
  <c r="C11" i="60" s="1"/>
  <c r="E9" i="29"/>
  <c r="C10" i="60" s="1"/>
  <c r="E8" i="29"/>
  <c r="C9" i="60" s="1"/>
  <c r="F8" i="29"/>
  <c r="E7" i="29"/>
  <c r="C8" i="60" s="1"/>
  <c r="I6" i="29"/>
  <c r="H6" i="29"/>
  <c r="H7" i="60" s="1"/>
  <c r="E6" i="29"/>
  <c r="C7" i="60" s="1"/>
  <c r="I5" i="29"/>
  <c r="H5" i="29"/>
  <c r="E5" i="29"/>
  <c r="C6" i="60" s="1"/>
  <c r="I4" i="29"/>
  <c r="H4" i="29"/>
  <c r="H5" i="60" s="1"/>
  <c r="E4" i="29"/>
  <c r="C5" i="60" s="1"/>
  <c r="M2" i="29"/>
  <c r="I35" i="51"/>
  <c r="H35" i="51"/>
  <c r="E35" i="51"/>
  <c r="C35" i="51"/>
  <c r="U33" i="51"/>
  <c r="T33" i="51"/>
  <c r="F33" i="51"/>
  <c r="D33" i="51"/>
  <c r="U32" i="51"/>
  <c r="T32" i="51"/>
  <c r="F32" i="51"/>
  <c r="D32" i="51"/>
  <c r="U31" i="51"/>
  <c r="T31" i="51"/>
  <c r="F31" i="51"/>
  <c r="D31" i="51"/>
  <c r="U30" i="51"/>
  <c r="T30" i="51"/>
  <c r="F30" i="51"/>
  <c r="D30" i="51"/>
  <c r="U29" i="51"/>
  <c r="T29" i="51"/>
  <c r="F29" i="51"/>
  <c r="D29" i="51"/>
  <c r="U28" i="51"/>
  <c r="T28" i="51"/>
  <c r="F28" i="51"/>
  <c r="D28" i="51"/>
  <c r="U27" i="51"/>
  <c r="T27" i="51"/>
  <c r="F27" i="51"/>
  <c r="D27" i="51"/>
  <c r="U26" i="51"/>
  <c r="T26" i="51"/>
  <c r="F26" i="51"/>
  <c r="D26" i="51"/>
  <c r="U25" i="51"/>
  <c r="T25" i="51"/>
  <c r="F25" i="51"/>
  <c r="D25" i="51"/>
  <c r="U24" i="51"/>
  <c r="T24" i="51"/>
  <c r="F24" i="51"/>
  <c r="D24" i="51"/>
  <c r="U23" i="51"/>
  <c r="T23" i="51"/>
  <c r="F23" i="51"/>
  <c r="D23" i="51"/>
  <c r="U22" i="51"/>
  <c r="T22" i="51"/>
  <c r="F22" i="51"/>
  <c r="D22" i="51"/>
  <c r="U21" i="51"/>
  <c r="T21" i="51"/>
  <c r="F21" i="51"/>
  <c r="D21" i="51"/>
  <c r="U20" i="51"/>
  <c r="T20" i="51"/>
  <c r="F20" i="51"/>
  <c r="D20" i="51"/>
  <c r="U19" i="51"/>
  <c r="T19" i="51"/>
  <c r="F19" i="51"/>
  <c r="D19" i="51"/>
  <c r="U18" i="51"/>
  <c r="T18" i="51"/>
  <c r="F18" i="51"/>
  <c r="D18" i="51"/>
  <c r="U17" i="51"/>
  <c r="T17" i="51"/>
  <c r="F17" i="51"/>
  <c r="D17" i="51"/>
  <c r="U16" i="51"/>
  <c r="T16" i="51"/>
  <c r="F16" i="51"/>
  <c r="D16" i="51"/>
  <c r="U15" i="51"/>
  <c r="T15" i="51"/>
  <c r="F15" i="51"/>
  <c r="D15" i="51"/>
  <c r="U14" i="51"/>
  <c r="T14" i="51"/>
  <c r="F14" i="51"/>
  <c r="D14" i="51"/>
  <c r="U13" i="51"/>
  <c r="T13" i="51"/>
  <c r="F13" i="51"/>
  <c r="D13" i="51"/>
  <c r="U12" i="51"/>
  <c r="T12" i="51"/>
  <c r="F12" i="51"/>
  <c r="D12" i="51"/>
  <c r="U11" i="51"/>
  <c r="T11" i="51"/>
  <c r="F11" i="51"/>
  <c r="D11" i="51"/>
  <c r="U10" i="51"/>
  <c r="T10" i="51"/>
  <c r="F10" i="51"/>
  <c r="D10" i="51"/>
  <c r="U9" i="51"/>
  <c r="T9" i="51"/>
  <c r="F9" i="51"/>
  <c r="D9" i="51"/>
  <c r="U8" i="51"/>
  <c r="T8" i="51"/>
  <c r="F8" i="51"/>
  <c r="D8" i="51"/>
  <c r="U7" i="51"/>
  <c r="T7" i="51"/>
  <c r="F7" i="51"/>
  <c r="D7" i="51"/>
  <c r="U6" i="51"/>
  <c r="T6" i="51"/>
  <c r="F6" i="51"/>
  <c r="D6" i="51"/>
  <c r="U5" i="51"/>
  <c r="T5" i="51"/>
  <c r="F5" i="51"/>
  <c r="D5" i="51"/>
  <c r="U4" i="51"/>
  <c r="T4" i="51"/>
  <c r="F4" i="51"/>
  <c r="D4" i="51"/>
  <c r="AE38" i="27"/>
  <c r="C35" i="27"/>
  <c r="AA34" i="27"/>
  <c r="Q34" i="27"/>
  <c r="N33" i="27"/>
  <c r="E33" i="27"/>
  <c r="F33" i="27" s="1"/>
  <c r="D33" i="27"/>
  <c r="N32" i="27"/>
  <c r="E32" i="27"/>
  <c r="F32" i="27" s="1"/>
  <c r="D32" i="27"/>
  <c r="N31" i="27"/>
  <c r="E31" i="27"/>
  <c r="F31" i="27" s="1"/>
  <c r="D31" i="27"/>
  <c r="N30" i="27"/>
  <c r="E30" i="27"/>
  <c r="F30" i="27" s="1"/>
  <c r="D30" i="27"/>
  <c r="N29" i="27"/>
  <c r="E29" i="27"/>
  <c r="F29" i="27" s="1"/>
  <c r="D29" i="27"/>
  <c r="N28" i="27"/>
  <c r="E28" i="27"/>
  <c r="F28" i="27" s="1"/>
  <c r="D28" i="27"/>
  <c r="N27" i="27"/>
  <c r="E27" i="27"/>
  <c r="F27" i="27" s="1"/>
  <c r="D27" i="27"/>
  <c r="N26" i="27"/>
  <c r="E26" i="27"/>
  <c r="F26" i="27" s="1"/>
  <c r="D26" i="27"/>
  <c r="N25" i="27"/>
  <c r="E25" i="27"/>
  <c r="F25" i="27" s="1"/>
  <c r="D25" i="27"/>
  <c r="N24" i="27"/>
  <c r="E24" i="27"/>
  <c r="F24" i="27" s="1"/>
  <c r="D24" i="27"/>
  <c r="N23" i="27"/>
  <c r="E23" i="27"/>
  <c r="F23" i="27" s="1"/>
  <c r="D23" i="27"/>
  <c r="N22" i="27"/>
  <c r="E22" i="27"/>
  <c r="F22" i="27" s="1"/>
  <c r="D22" i="27"/>
  <c r="N21" i="27"/>
  <c r="E21" i="27"/>
  <c r="F21" i="27" s="1"/>
  <c r="D21" i="27"/>
  <c r="N20" i="27"/>
  <c r="E20" i="27"/>
  <c r="F20" i="27" s="1"/>
  <c r="D20" i="27"/>
  <c r="N19" i="27"/>
  <c r="E19" i="27"/>
  <c r="F19" i="27" s="1"/>
  <c r="D19" i="27"/>
  <c r="N18" i="27"/>
  <c r="E18" i="27"/>
  <c r="F18" i="27" s="1"/>
  <c r="D18" i="27"/>
  <c r="N17" i="27"/>
  <c r="E17" i="27"/>
  <c r="F17" i="27" s="1"/>
  <c r="D17" i="27"/>
  <c r="N16" i="27"/>
  <c r="E16" i="27"/>
  <c r="F16" i="27" s="1"/>
  <c r="D16" i="27"/>
  <c r="N15" i="27"/>
  <c r="E15" i="27"/>
  <c r="F15" i="27" s="1"/>
  <c r="D15" i="27"/>
  <c r="N14" i="27"/>
  <c r="E14" i="27"/>
  <c r="F14" i="27" s="1"/>
  <c r="D14" i="27"/>
  <c r="N13" i="27"/>
  <c r="E13" i="27"/>
  <c r="F13" i="27" s="1"/>
  <c r="D13" i="27"/>
  <c r="O12" i="27"/>
  <c r="O13" i="27" s="1"/>
  <c r="O14" i="27" s="1"/>
  <c r="O15" i="27" s="1"/>
  <c r="O16" i="27" s="1"/>
  <c r="O17" i="27" s="1"/>
  <c r="O18" i="27" s="1"/>
  <c r="O19" i="27" s="1"/>
  <c r="O20" i="27" s="1"/>
  <c r="O21" i="27" s="1"/>
  <c r="O22" i="27" s="1"/>
  <c r="O23" i="27" s="1"/>
  <c r="O24" i="27" s="1"/>
  <c r="O25" i="27" s="1"/>
  <c r="O26" i="27" s="1"/>
  <c r="O27" i="27" s="1"/>
  <c r="O28" i="27" s="1"/>
  <c r="O29" i="27" s="1"/>
  <c r="O30" i="27" s="1"/>
  <c r="O31" i="27" s="1"/>
  <c r="O32" i="27" s="1"/>
  <c r="O33" i="27" s="1"/>
  <c r="N12" i="27"/>
  <c r="E12" i="27"/>
  <c r="F12" i="27" s="1"/>
  <c r="D12" i="27"/>
  <c r="N11" i="27"/>
  <c r="P11" i="27" s="1"/>
  <c r="E11" i="27"/>
  <c r="F11" i="27" s="1"/>
  <c r="D11" i="27"/>
  <c r="N10" i="27"/>
  <c r="P10" i="27" s="1"/>
  <c r="E10" i="27"/>
  <c r="F10" i="27" s="1"/>
  <c r="D10" i="27"/>
  <c r="N9" i="27"/>
  <c r="P9" i="27" s="1"/>
  <c r="E9" i="27"/>
  <c r="F9" i="27" s="1"/>
  <c r="D9" i="27"/>
  <c r="N8" i="27"/>
  <c r="P8" i="27" s="1"/>
  <c r="E8" i="27"/>
  <c r="F8" i="27" s="1"/>
  <c r="D8" i="27"/>
  <c r="N7" i="27"/>
  <c r="P7" i="27" s="1"/>
  <c r="E7" i="27"/>
  <c r="D7" i="27"/>
  <c r="N6" i="27"/>
  <c r="P6" i="27" s="1"/>
  <c r="F6" i="27"/>
  <c r="D6" i="27"/>
  <c r="N5" i="27"/>
  <c r="P5" i="27" s="1"/>
  <c r="F5" i="27"/>
  <c r="AA4" i="27"/>
  <c r="X5" i="27" s="1"/>
  <c r="W5" i="27" s="1"/>
  <c r="Y5" i="27" s="1"/>
  <c r="W4" i="27"/>
  <c r="N4" i="27"/>
  <c r="P4" i="27" s="1"/>
  <c r="D4" i="27"/>
  <c r="P34" i="42"/>
  <c r="P33" i="42"/>
  <c r="P32" i="42"/>
  <c r="P31" i="42"/>
  <c r="P30" i="42"/>
  <c r="P29" i="42"/>
  <c r="P28" i="42"/>
  <c r="P27" i="42"/>
  <c r="P26" i="42"/>
  <c r="P25" i="42"/>
  <c r="P24" i="42"/>
  <c r="P23" i="42"/>
  <c r="P22" i="42"/>
  <c r="P21" i="42"/>
  <c r="P20" i="42"/>
  <c r="P19" i="42"/>
  <c r="P18" i="42"/>
  <c r="M18" i="42"/>
  <c r="M19" i="42" s="1"/>
  <c r="M20" i="42" s="1"/>
  <c r="M21" i="42" s="1"/>
  <c r="M22" i="42" s="1"/>
  <c r="M23" i="42" s="1"/>
  <c r="M24" i="42" s="1"/>
  <c r="M25" i="42" s="1"/>
  <c r="M26" i="42" s="1"/>
  <c r="M27" i="42" s="1"/>
  <c r="M28" i="42" s="1"/>
  <c r="M29" i="42" s="1"/>
  <c r="M30" i="42" s="1"/>
  <c r="M31" i="42" s="1"/>
  <c r="M32" i="42" s="1"/>
  <c r="M33" i="42" s="1"/>
  <c r="M34" i="42" s="1"/>
  <c r="P17" i="42"/>
  <c r="P16" i="42"/>
  <c r="P15" i="42"/>
  <c r="P14" i="42"/>
  <c r="P13" i="42"/>
  <c r="P12" i="42"/>
  <c r="P11" i="42"/>
  <c r="P10" i="42"/>
  <c r="P9" i="42"/>
  <c r="P8" i="42"/>
  <c r="P7" i="42"/>
  <c r="P6" i="42"/>
  <c r="F6" i="42"/>
  <c r="F7" i="42" s="1"/>
  <c r="F8" i="42" s="1"/>
  <c r="F9" i="42" s="1"/>
  <c r="F10" i="42" s="1"/>
  <c r="F11" i="42" s="1"/>
  <c r="F12" i="42" s="1"/>
  <c r="F13" i="42" s="1"/>
  <c r="F14" i="42" s="1"/>
  <c r="F15" i="42" s="1"/>
  <c r="F16" i="42" s="1"/>
  <c r="F17" i="42" s="1"/>
  <c r="F18" i="42" s="1"/>
  <c r="F19" i="42" s="1"/>
  <c r="F20" i="42" s="1"/>
  <c r="F21" i="42" s="1"/>
  <c r="F22" i="42" s="1"/>
  <c r="F23" i="42" s="1"/>
  <c r="F24" i="42" s="1"/>
  <c r="F25" i="42" s="1"/>
  <c r="F26" i="42" s="1"/>
  <c r="F27" i="42" s="1"/>
  <c r="F28" i="42" s="1"/>
  <c r="F29" i="42" s="1"/>
  <c r="F30" i="42" s="1"/>
  <c r="F31" i="42" s="1"/>
  <c r="F32" i="42" s="1"/>
  <c r="F33" i="42" s="1"/>
  <c r="F34" i="42" s="1"/>
  <c r="P5" i="42"/>
  <c r="O1" i="42"/>
  <c r="M1" i="42" s="1"/>
  <c r="E33" i="19"/>
  <c r="D34" i="53" s="1"/>
  <c r="D33" i="19"/>
  <c r="E34" i="42" s="1"/>
  <c r="E32" i="19"/>
  <c r="D33" i="53" s="1"/>
  <c r="D32" i="19"/>
  <c r="D33" i="42" s="1"/>
  <c r="E31" i="19"/>
  <c r="D32" i="53" s="1"/>
  <c r="D31" i="19"/>
  <c r="E30" i="19"/>
  <c r="D31" i="53" s="1"/>
  <c r="D30" i="19"/>
  <c r="D31" i="42" s="1"/>
  <c r="E29" i="19"/>
  <c r="D30" i="53" s="1"/>
  <c r="D29" i="19"/>
  <c r="E30" i="42" s="1"/>
  <c r="E28" i="19"/>
  <c r="F28" i="19" s="1"/>
  <c r="D28" i="19"/>
  <c r="D29" i="42" s="1"/>
  <c r="E27" i="19"/>
  <c r="D28" i="53" s="1"/>
  <c r="D27" i="19"/>
  <c r="E26" i="19"/>
  <c r="D27" i="53" s="1"/>
  <c r="D26" i="19"/>
  <c r="D27" i="42" s="1"/>
  <c r="E25" i="19"/>
  <c r="D26" i="53" s="1"/>
  <c r="D25" i="19"/>
  <c r="E26" i="42" s="1"/>
  <c r="E24" i="19"/>
  <c r="D25" i="53" s="1"/>
  <c r="D24" i="19"/>
  <c r="D25" i="42" s="1"/>
  <c r="E23" i="19"/>
  <c r="D24" i="53" s="1"/>
  <c r="D23" i="19"/>
  <c r="N24" i="42" s="1"/>
  <c r="E22" i="19"/>
  <c r="D23" i="53" s="1"/>
  <c r="D22" i="19"/>
  <c r="D23" i="42" s="1"/>
  <c r="E21" i="19"/>
  <c r="D22" i="53" s="1"/>
  <c r="D21" i="19"/>
  <c r="E22" i="42" s="1"/>
  <c r="E20" i="19"/>
  <c r="D21" i="53" s="1"/>
  <c r="D20" i="19"/>
  <c r="D21" i="42" s="1"/>
  <c r="E19" i="19"/>
  <c r="D20" i="53" s="1"/>
  <c r="D19" i="19"/>
  <c r="E18" i="19"/>
  <c r="D19" i="53" s="1"/>
  <c r="D18" i="19"/>
  <c r="D19" i="42" s="1"/>
  <c r="E17" i="19"/>
  <c r="D18" i="53" s="1"/>
  <c r="D17" i="19"/>
  <c r="E18" i="42" s="1"/>
  <c r="E16" i="19"/>
  <c r="D17" i="53" s="1"/>
  <c r="D16" i="19"/>
  <c r="E15" i="19"/>
  <c r="D16" i="53" s="1"/>
  <c r="D15" i="19"/>
  <c r="E14" i="19"/>
  <c r="D15" i="53" s="1"/>
  <c r="D14" i="19"/>
  <c r="E15" i="42" s="1"/>
  <c r="E13" i="19"/>
  <c r="D14" i="53" s="1"/>
  <c r="D13" i="19"/>
  <c r="N14" i="42" s="1"/>
  <c r="G12" i="19"/>
  <c r="G13" i="19" s="1"/>
  <c r="G14" i="19" s="1"/>
  <c r="G15" i="19" s="1"/>
  <c r="G16" i="19" s="1"/>
  <c r="E12" i="19"/>
  <c r="D13" i="53" s="1"/>
  <c r="D12" i="19"/>
  <c r="E11" i="19"/>
  <c r="D12" i="53" s="1"/>
  <c r="D11" i="19"/>
  <c r="D12" i="42" s="1"/>
  <c r="E10" i="19"/>
  <c r="D11" i="53" s="1"/>
  <c r="D10" i="19"/>
  <c r="E11" i="42" s="1"/>
  <c r="E9" i="19"/>
  <c r="D10" i="53" s="1"/>
  <c r="D9" i="19"/>
  <c r="N10" i="42" s="1"/>
  <c r="E8" i="19"/>
  <c r="D9" i="53" s="1"/>
  <c r="D8" i="19"/>
  <c r="C9" i="42" s="1"/>
  <c r="E7" i="19"/>
  <c r="D8" i="53" s="1"/>
  <c r="D7" i="19"/>
  <c r="D8" i="42" s="1"/>
  <c r="E6" i="19"/>
  <c r="D7" i="53" s="1"/>
  <c r="D6" i="19"/>
  <c r="E7" i="42" s="1"/>
  <c r="E5" i="19"/>
  <c r="D6" i="53" s="1"/>
  <c r="D5" i="19"/>
  <c r="N6" i="42" s="1"/>
  <c r="E4" i="19"/>
  <c r="D5" i="53" s="1"/>
  <c r="D4" i="19"/>
  <c r="D5" i="42" s="1"/>
  <c r="C33" i="21"/>
  <c r="D33" i="21" s="1"/>
  <c r="E33" i="21" s="1"/>
  <c r="I32" i="21"/>
  <c r="F32" i="21"/>
  <c r="C32" i="21"/>
  <c r="M35" i="57" s="1"/>
  <c r="M36" i="57" s="1"/>
  <c r="I31" i="21"/>
  <c r="F31" i="21"/>
  <c r="C31" i="21"/>
  <c r="M34" i="57" s="1"/>
  <c r="I30" i="21"/>
  <c r="F30" i="21"/>
  <c r="C30" i="21"/>
  <c r="M33" i="57" s="1"/>
  <c r="I29" i="21"/>
  <c r="F29" i="21"/>
  <c r="C29" i="21"/>
  <c r="M32" i="57" s="1"/>
  <c r="I28" i="21"/>
  <c r="F28" i="21"/>
  <c r="C28" i="21"/>
  <c r="M31" i="57" s="1"/>
  <c r="I27" i="21"/>
  <c r="F27" i="21"/>
  <c r="C27" i="21"/>
  <c r="M30" i="57" s="1"/>
  <c r="I26" i="21"/>
  <c r="F26" i="21"/>
  <c r="C26" i="21"/>
  <c r="M29" i="57" s="1"/>
  <c r="I25" i="21"/>
  <c r="F25" i="21"/>
  <c r="C25" i="21"/>
  <c r="M28" i="57" s="1"/>
  <c r="I24" i="21"/>
  <c r="F24" i="21"/>
  <c r="C24" i="21"/>
  <c r="M27" i="57" s="1"/>
  <c r="I23" i="21"/>
  <c r="F23" i="21"/>
  <c r="C23" i="21"/>
  <c r="M26" i="57" s="1"/>
  <c r="I22" i="21"/>
  <c r="F22" i="21"/>
  <c r="C22" i="21"/>
  <c r="M25" i="57" s="1"/>
  <c r="I21" i="21"/>
  <c r="F21" i="21"/>
  <c r="C21" i="21"/>
  <c r="M24" i="57" s="1"/>
  <c r="I20" i="21"/>
  <c r="F20" i="21"/>
  <c r="C20" i="21"/>
  <c r="M23" i="57" s="1"/>
  <c r="I19" i="21"/>
  <c r="F19" i="21"/>
  <c r="C19" i="21"/>
  <c r="M22" i="57" s="1"/>
  <c r="I18" i="21"/>
  <c r="F18" i="21"/>
  <c r="C18" i="21"/>
  <c r="M21" i="57" s="1"/>
  <c r="I17" i="21"/>
  <c r="F17" i="21"/>
  <c r="C17" i="21"/>
  <c r="M20" i="57" s="1"/>
  <c r="I16" i="21"/>
  <c r="F16" i="21"/>
  <c r="C16" i="21"/>
  <c r="M19" i="57" s="1"/>
  <c r="F15" i="21"/>
  <c r="C15" i="21"/>
  <c r="M18" i="57" s="1"/>
  <c r="C14" i="21"/>
  <c r="E14" i="21" s="1"/>
  <c r="C13" i="21"/>
  <c r="E13" i="21" s="1"/>
  <c r="C12" i="21"/>
  <c r="D12" i="21" s="1"/>
  <c r="C11" i="21"/>
  <c r="E11" i="21" s="1"/>
  <c r="C10" i="21"/>
  <c r="E10" i="21" s="1"/>
  <c r="C9" i="21"/>
  <c r="E9" i="21" s="1"/>
  <c r="C8" i="21"/>
  <c r="E8" i="21" s="1"/>
  <c r="C7" i="21"/>
  <c r="E7" i="21" s="1"/>
  <c r="C6" i="21"/>
  <c r="E6" i="21" s="1"/>
  <c r="C5" i="21"/>
  <c r="E5" i="21" s="1"/>
  <c r="C4" i="21"/>
  <c r="E4" i="21" s="1"/>
  <c r="I34" i="20"/>
  <c r="K34" i="20" s="1"/>
  <c r="I33" i="20"/>
  <c r="K33" i="20" s="1"/>
  <c r="I32" i="20"/>
  <c r="K32" i="20" s="1"/>
  <c r="I31" i="20"/>
  <c r="K31" i="20" s="1"/>
  <c r="I30" i="20"/>
  <c r="K30" i="20" s="1"/>
  <c r="I29" i="20"/>
  <c r="K29" i="20" s="1"/>
  <c r="I28" i="20"/>
  <c r="K28" i="20" s="1"/>
  <c r="I27" i="20"/>
  <c r="K27" i="20" s="1"/>
  <c r="I26" i="20"/>
  <c r="K26" i="20" s="1"/>
  <c r="I25" i="20"/>
  <c r="K25" i="20" s="1"/>
  <c r="I24" i="20"/>
  <c r="K24" i="20" s="1"/>
  <c r="I23" i="20"/>
  <c r="K23" i="20" s="1"/>
  <c r="I22" i="20"/>
  <c r="K22" i="20" s="1"/>
  <c r="I21" i="20"/>
  <c r="K21" i="20" s="1"/>
  <c r="I20" i="20"/>
  <c r="K20" i="20" s="1"/>
  <c r="I19" i="20"/>
  <c r="K19" i="20" s="1"/>
  <c r="I18" i="20"/>
  <c r="K18" i="20" s="1"/>
  <c r="I17" i="20"/>
  <c r="K17" i="20" s="1"/>
  <c r="I16" i="20"/>
  <c r="K16" i="20" s="1"/>
  <c r="I15" i="20"/>
  <c r="K15" i="20" s="1"/>
  <c r="I14" i="20"/>
  <c r="K14" i="20" s="1"/>
  <c r="I13" i="20"/>
  <c r="K13" i="20" s="1"/>
  <c r="I12" i="20"/>
  <c r="K12" i="20" s="1"/>
  <c r="I11" i="20"/>
  <c r="K11" i="20" s="1"/>
  <c r="I10" i="20"/>
  <c r="K10" i="20" s="1"/>
  <c r="I9" i="20"/>
  <c r="K9" i="20" s="1"/>
  <c r="I8" i="20"/>
  <c r="I7" i="20"/>
  <c r="I6" i="20"/>
  <c r="I5" i="20"/>
  <c r="J35" i="66" l="1"/>
  <c r="D13" i="21"/>
  <c r="F5" i="19"/>
  <c r="L6" i="57" s="1"/>
  <c r="T6" i="57" s="1"/>
  <c r="U6" i="57" s="1"/>
  <c r="P12" i="27"/>
  <c r="F35" i="51"/>
  <c r="Y31" i="47"/>
  <c r="D32" i="60" s="1"/>
  <c r="AD17" i="82" s="1"/>
  <c r="D4" i="21"/>
  <c r="D5" i="21"/>
  <c r="F9" i="19"/>
  <c r="L10" i="57" s="1"/>
  <c r="AB10" i="57" s="1"/>
  <c r="F20" i="19"/>
  <c r="L23" i="57" s="1"/>
  <c r="AB23" i="57" s="1"/>
  <c r="D10" i="65"/>
  <c r="D9" i="21"/>
  <c r="D16" i="21"/>
  <c r="D17" i="21"/>
  <c r="D18" i="21"/>
  <c r="D19" i="21"/>
  <c r="D20" i="21"/>
  <c r="D21" i="21"/>
  <c r="D22" i="21"/>
  <c r="D23" i="21"/>
  <c r="D24" i="21"/>
  <c r="D25" i="21"/>
  <c r="D26" i="21"/>
  <c r="D27" i="21"/>
  <c r="D28" i="21"/>
  <c r="D29" i="21"/>
  <c r="D30" i="21"/>
  <c r="D31" i="21"/>
  <c r="D32" i="21"/>
  <c r="F7" i="19"/>
  <c r="L8" i="57" s="1"/>
  <c r="T8" i="57" s="1"/>
  <c r="U8" i="57" s="1"/>
  <c r="F11" i="19"/>
  <c r="L12" i="57" s="1"/>
  <c r="AB12" i="57" s="1"/>
  <c r="F15" i="19"/>
  <c r="L18" i="57" s="1"/>
  <c r="AB18" i="57" s="1"/>
  <c r="F23" i="19"/>
  <c r="L26" i="57" s="1"/>
  <c r="AB26" i="57" s="1"/>
  <c r="F73" i="54"/>
  <c r="E43" i="54"/>
  <c r="C43" i="54" s="1"/>
  <c r="P15" i="57"/>
  <c r="P18" i="57"/>
  <c r="P20" i="57"/>
  <c r="P22" i="57"/>
  <c r="P24" i="57"/>
  <c r="P26" i="57"/>
  <c r="P28" i="57"/>
  <c r="P30" i="57"/>
  <c r="P32" i="57"/>
  <c r="P34" i="57"/>
  <c r="P36" i="57"/>
  <c r="P13" i="57"/>
  <c r="P17" i="57"/>
  <c r="T17" i="57" s="1"/>
  <c r="P19" i="57"/>
  <c r="P21" i="57"/>
  <c r="P23" i="57"/>
  <c r="P25" i="57"/>
  <c r="P27" i="57"/>
  <c r="P29" i="57"/>
  <c r="P31" i="57"/>
  <c r="P33" i="57"/>
  <c r="P35" i="57"/>
  <c r="P12" i="57"/>
  <c r="J63" i="66"/>
  <c r="P11" i="57"/>
  <c r="P9" i="57"/>
  <c r="W9" i="57" s="1"/>
  <c r="P10" i="57"/>
  <c r="Y13" i="47"/>
  <c r="Y21" i="47"/>
  <c r="D22" i="60" s="1"/>
  <c r="T17" i="82" s="1"/>
  <c r="Y29" i="47"/>
  <c r="D30" i="60" s="1"/>
  <c r="AB17" i="82" s="1"/>
  <c r="Y4" i="47"/>
  <c r="D5" i="60" s="1"/>
  <c r="C17" i="82" s="1"/>
  <c r="Y6" i="47"/>
  <c r="D7" i="60" s="1"/>
  <c r="E17" i="82" s="1"/>
  <c r="Y9" i="47"/>
  <c r="D10" i="60" s="1"/>
  <c r="H17" i="82" s="1"/>
  <c r="Y17" i="47"/>
  <c r="D18" i="60" s="1"/>
  <c r="P17" i="82" s="1"/>
  <c r="Y25" i="47"/>
  <c r="D26" i="60" s="1"/>
  <c r="X17" i="82" s="1"/>
  <c r="Y33" i="47"/>
  <c r="D34" i="60" s="1"/>
  <c r="AF17" i="82" s="1"/>
  <c r="AF16" i="82" s="1"/>
  <c r="D14" i="60"/>
  <c r="L17" i="82" s="1"/>
  <c r="Y5" i="47"/>
  <c r="D6" i="60" s="1"/>
  <c r="D17" i="82" s="1"/>
  <c r="Y7" i="47"/>
  <c r="Y8" i="47"/>
  <c r="D9" i="60" s="1"/>
  <c r="G17" i="82" s="1"/>
  <c r="Y11" i="47"/>
  <c r="D12" i="60" s="1"/>
  <c r="J17" i="82" s="1"/>
  <c r="Y12" i="47"/>
  <c r="D13" i="60" s="1"/>
  <c r="K17" i="82" s="1"/>
  <c r="Y15" i="47"/>
  <c r="D16" i="60" s="1"/>
  <c r="N17" i="82" s="1"/>
  <c r="Y16" i="47"/>
  <c r="D17" i="60" s="1"/>
  <c r="O17" i="82" s="1"/>
  <c r="Y19" i="47"/>
  <c r="D20" i="60" s="1"/>
  <c r="R17" i="82" s="1"/>
  <c r="Y20" i="47"/>
  <c r="D21" i="60" s="1"/>
  <c r="S17" i="82" s="1"/>
  <c r="Y23" i="47"/>
  <c r="D24" i="60" s="1"/>
  <c r="V17" i="82" s="1"/>
  <c r="Y24" i="47"/>
  <c r="D25" i="60" s="1"/>
  <c r="W17" i="82" s="1"/>
  <c r="Y27" i="47"/>
  <c r="D28" i="60" s="1"/>
  <c r="Z17" i="82" s="1"/>
  <c r="Y28" i="47"/>
  <c r="D29" i="60" s="1"/>
  <c r="AA17" i="82" s="1"/>
  <c r="Y32" i="47"/>
  <c r="AA32" i="47" s="1"/>
  <c r="D7" i="21"/>
  <c r="D11" i="21"/>
  <c r="D15" i="21"/>
  <c r="F4" i="19"/>
  <c r="L5" i="57" s="1"/>
  <c r="F6" i="19"/>
  <c r="L7" i="57" s="1"/>
  <c r="AB7" i="57" s="1"/>
  <c r="F8" i="19"/>
  <c r="L9" i="57" s="1"/>
  <c r="F10" i="19"/>
  <c r="L11" i="57" s="1"/>
  <c r="AB11" i="57" s="1"/>
  <c r="C13" i="42"/>
  <c r="F12" i="19"/>
  <c r="L13" i="57" s="1"/>
  <c r="AB13" i="57" s="1"/>
  <c r="C13" i="19"/>
  <c r="K13" i="55" s="1"/>
  <c r="E13" i="55" s="1"/>
  <c r="F13" i="55" s="1"/>
  <c r="F14" i="19"/>
  <c r="L17" i="57" s="1"/>
  <c r="AB17" i="57" s="1"/>
  <c r="F17" i="19"/>
  <c r="L20" i="57" s="1"/>
  <c r="N20" i="57" s="1"/>
  <c r="AD20" i="57" s="1"/>
  <c r="F22" i="19"/>
  <c r="L25" i="57" s="1"/>
  <c r="AB25" i="57" s="1"/>
  <c r="F25" i="19"/>
  <c r="L28" i="57" s="1"/>
  <c r="AB28" i="57" s="1"/>
  <c r="P33" i="27"/>
  <c r="Y10" i="47"/>
  <c r="D11" i="60" s="1"/>
  <c r="I17" i="82" s="1"/>
  <c r="Y14" i="47"/>
  <c r="AA14" i="47" s="1"/>
  <c r="Y18" i="47"/>
  <c r="D19" i="60" s="1"/>
  <c r="Q17" i="82" s="1"/>
  <c r="Y22" i="47"/>
  <c r="D23" i="60" s="1"/>
  <c r="U17" i="82" s="1"/>
  <c r="Y26" i="47"/>
  <c r="D27" i="60" s="1"/>
  <c r="Y17" i="82" s="1"/>
  <c r="Y30" i="47"/>
  <c r="AA30" i="47" s="1"/>
  <c r="E42" i="54"/>
  <c r="C42" i="54" s="1"/>
  <c r="AE37" i="57"/>
  <c r="AG38" i="57" s="1"/>
  <c r="AC38" i="57"/>
  <c r="N36" i="60"/>
  <c r="C18" i="29"/>
  <c r="C19" i="29" s="1"/>
  <c r="M8" i="57"/>
  <c r="F7" i="21"/>
  <c r="I7" i="21"/>
  <c r="M12" i="57"/>
  <c r="I11" i="21"/>
  <c r="F11" i="21"/>
  <c r="F33" i="21"/>
  <c r="I33" i="21"/>
  <c r="C16" i="19"/>
  <c r="K16" i="54" s="1"/>
  <c r="E16" i="54" s="1"/>
  <c r="F16" i="54" s="1"/>
  <c r="G17" i="19"/>
  <c r="G18" i="19" s="1"/>
  <c r="P13" i="27"/>
  <c r="P15" i="27"/>
  <c r="P17" i="27"/>
  <c r="P19" i="27"/>
  <c r="P21" i="27"/>
  <c r="P23" i="27"/>
  <c r="P25" i="27"/>
  <c r="P27" i="27"/>
  <c r="P29" i="27"/>
  <c r="P31" i="27"/>
  <c r="M9" i="57"/>
  <c r="F8" i="21"/>
  <c r="I8" i="21"/>
  <c r="M5" i="57"/>
  <c r="F4" i="21"/>
  <c r="M6" i="57"/>
  <c r="F5" i="21"/>
  <c r="I5" i="21"/>
  <c r="M7" i="57"/>
  <c r="F6" i="21"/>
  <c r="I6" i="21"/>
  <c r="M10" i="57"/>
  <c r="I9" i="21"/>
  <c r="F9" i="21"/>
  <c r="M11" i="57"/>
  <c r="F10" i="21"/>
  <c r="I10" i="21"/>
  <c r="M15" i="57"/>
  <c r="F13" i="21"/>
  <c r="M17" i="57"/>
  <c r="I15" i="21"/>
  <c r="F14" i="21"/>
  <c r="I14" i="21"/>
  <c r="L31" i="57"/>
  <c r="AB31" i="57" s="1"/>
  <c r="F29" i="53"/>
  <c r="P14" i="27"/>
  <c r="P16" i="27"/>
  <c r="P18" i="27"/>
  <c r="P20" i="27"/>
  <c r="P22" i="27"/>
  <c r="P24" i="27"/>
  <c r="P26" i="27"/>
  <c r="P28" i="27"/>
  <c r="P30" i="27"/>
  <c r="P32" i="27"/>
  <c r="E12" i="21"/>
  <c r="D6" i="21"/>
  <c r="D8" i="21"/>
  <c r="D10" i="21"/>
  <c r="D14" i="21"/>
  <c r="C4" i="19"/>
  <c r="K4" i="55" s="1"/>
  <c r="E4" i="55" s="1"/>
  <c r="F4" i="55" s="1"/>
  <c r="C5" i="19"/>
  <c r="K5" i="55" s="1"/>
  <c r="E5" i="55" s="1"/>
  <c r="F5" i="55" s="1"/>
  <c r="C6" i="19"/>
  <c r="K6" i="54" s="1"/>
  <c r="E6" i="54" s="1"/>
  <c r="F6" i="54" s="1"/>
  <c r="C7" i="19"/>
  <c r="K7" i="54" s="1"/>
  <c r="E7" i="54" s="1"/>
  <c r="F7" i="54" s="1"/>
  <c r="C8" i="19"/>
  <c r="K8" i="55" s="1"/>
  <c r="E8" i="55" s="1"/>
  <c r="F8" i="55" s="1"/>
  <c r="C9" i="19"/>
  <c r="K9" i="54" s="1"/>
  <c r="E9" i="54" s="1"/>
  <c r="F9" i="54" s="1"/>
  <c r="C10" i="19"/>
  <c r="K10" i="55" s="1"/>
  <c r="E10" i="55" s="1"/>
  <c r="F10" i="55" s="1"/>
  <c r="C11" i="19"/>
  <c r="K11" i="55" s="1"/>
  <c r="E11" i="55" s="1"/>
  <c r="F11" i="55" s="1"/>
  <c r="C12" i="19"/>
  <c r="K12" i="54" s="1"/>
  <c r="E12" i="54" s="1"/>
  <c r="F12" i="54" s="1"/>
  <c r="F13" i="19"/>
  <c r="C14" i="19"/>
  <c r="C17" i="42"/>
  <c r="F16" i="19"/>
  <c r="C17" i="19"/>
  <c r="K17" i="55" s="1"/>
  <c r="E17" i="55" s="1"/>
  <c r="F17" i="55" s="1"/>
  <c r="F18" i="19"/>
  <c r="F19" i="19"/>
  <c r="F21" i="19"/>
  <c r="F24" i="19"/>
  <c r="F26" i="19"/>
  <c r="F27" i="19"/>
  <c r="F29" i="19"/>
  <c r="F32" i="19"/>
  <c r="D9" i="42"/>
  <c r="D13" i="42"/>
  <c r="D14" i="42"/>
  <c r="C18" i="42"/>
  <c r="N18" i="42"/>
  <c r="H18" i="42" s="1"/>
  <c r="E19" i="42"/>
  <c r="D22" i="42"/>
  <c r="E25" i="42"/>
  <c r="N26" i="42"/>
  <c r="G26" i="42" s="1"/>
  <c r="I25" i="52" s="1"/>
  <c r="E25" i="52" s="1"/>
  <c r="F25" i="52" s="1"/>
  <c r="E27" i="42"/>
  <c r="D30" i="42"/>
  <c r="E33" i="42"/>
  <c r="N34" i="42"/>
  <c r="I34" i="42" s="1"/>
  <c r="F18" i="53"/>
  <c r="F23" i="53"/>
  <c r="D29" i="53"/>
  <c r="AA5" i="27"/>
  <c r="X6" i="27" s="1"/>
  <c r="E35" i="27"/>
  <c r="F9" i="29"/>
  <c r="I8" i="29"/>
  <c r="H8" i="29"/>
  <c r="H9" i="60" s="1"/>
  <c r="W36" i="47"/>
  <c r="D49" i="32"/>
  <c r="E48" i="32"/>
  <c r="C48" i="32" s="1"/>
  <c r="E44" i="54"/>
  <c r="C44" i="54" s="1"/>
  <c r="D45" i="54"/>
  <c r="G6" i="42"/>
  <c r="G10" i="42"/>
  <c r="I9" i="52" s="1"/>
  <c r="E9" i="52" s="1"/>
  <c r="F9" i="52" s="1"/>
  <c r="AB20" i="57"/>
  <c r="F30" i="19"/>
  <c r="F31" i="19"/>
  <c r="F33" i="19"/>
  <c r="C5" i="42"/>
  <c r="C6" i="42"/>
  <c r="N7" i="42"/>
  <c r="E8" i="42"/>
  <c r="C10" i="42"/>
  <c r="N11" i="42"/>
  <c r="I11" i="42" s="1"/>
  <c r="E12" i="42"/>
  <c r="C14" i="42"/>
  <c r="C15" i="42"/>
  <c r="N15" i="42"/>
  <c r="I15" i="42" s="1"/>
  <c r="D17" i="42"/>
  <c r="D18" i="42"/>
  <c r="E21" i="42"/>
  <c r="N22" i="42"/>
  <c r="G22" i="42" s="1"/>
  <c r="I21" i="52" s="1"/>
  <c r="E21" i="52" s="1"/>
  <c r="F21" i="52" s="1"/>
  <c r="E23" i="42"/>
  <c r="D26" i="42"/>
  <c r="E29" i="42"/>
  <c r="N30" i="42"/>
  <c r="I30" i="42" s="1"/>
  <c r="E31" i="42"/>
  <c r="D34" i="42"/>
  <c r="F5" i="53"/>
  <c r="F6" i="53"/>
  <c r="F7" i="53"/>
  <c r="D8" i="60"/>
  <c r="F17" i="82" s="1"/>
  <c r="AA7" i="47"/>
  <c r="AA8" i="47"/>
  <c r="D33" i="60"/>
  <c r="AE17" i="82" s="1"/>
  <c r="H7" i="29"/>
  <c r="H8" i="60" s="1"/>
  <c r="AA11" i="47"/>
  <c r="AA13" i="47"/>
  <c r="AA31" i="47"/>
  <c r="E47" i="32"/>
  <c r="C47" i="32" s="1"/>
  <c r="E66" i="55"/>
  <c r="C66" i="55" s="1"/>
  <c r="I7" i="29"/>
  <c r="F8" i="65"/>
  <c r="E10" i="65"/>
  <c r="F31" i="60"/>
  <c r="AC20" i="82" s="1"/>
  <c r="F33" i="60"/>
  <c r="AE20" i="82" s="1"/>
  <c r="AE16" i="82" s="1"/>
  <c r="F45" i="65"/>
  <c r="G45" i="65" s="1"/>
  <c r="H45" i="65" s="1"/>
  <c r="I45" i="65" s="1"/>
  <c r="J45" i="65" s="1"/>
  <c r="K45" i="65" s="1"/>
  <c r="L45" i="65" s="1"/>
  <c r="M45" i="65" s="1"/>
  <c r="N45" i="65" s="1"/>
  <c r="O45" i="65" s="1"/>
  <c r="P45" i="65" s="1"/>
  <c r="Q45" i="65" s="1"/>
  <c r="R45" i="65" s="1"/>
  <c r="S45" i="65" s="1"/>
  <c r="T45" i="65" s="1"/>
  <c r="U45" i="65" s="1"/>
  <c r="V45" i="65" s="1"/>
  <c r="W45" i="65" s="1"/>
  <c r="X45" i="65" s="1"/>
  <c r="Y45" i="65" s="1"/>
  <c r="Z45" i="65" s="1"/>
  <c r="AA45" i="65" s="1"/>
  <c r="AB45" i="65" s="1"/>
  <c r="AC45" i="65" s="1"/>
  <c r="AD45" i="65" s="1"/>
  <c r="AE45" i="65" s="1"/>
  <c r="AF45" i="65" s="1"/>
  <c r="AG45" i="65" s="1"/>
  <c r="O299" i="65"/>
  <c r="B3" i="65"/>
  <c r="W216" i="65"/>
  <c r="W217" i="65" s="1"/>
  <c r="W218" i="65" s="1"/>
  <c r="W219" i="65" s="1"/>
  <c r="W220" i="65" s="1"/>
  <c r="W221" i="65" s="1"/>
  <c r="W222" i="65" s="1"/>
  <c r="W223" i="65" s="1"/>
  <c r="W224" i="65" s="1"/>
  <c r="AH224" i="65" s="1"/>
  <c r="X291" i="65"/>
  <c r="X292" i="65" s="1"/>
  <c r="X293" i="65" s="1"/>
  <c r="X294" i="65" s="1"/>
  <c r="AH294" i="65" s="1"/>
  <c r="J6" i="66"/>
  <c r="J84" i="66"/>
  <c r="F6" i="60"/>
  <c r="F25" i="60"/>
  <c r="W20" i="82" s="1"/>
  <c r="F27" i="60"/>
  <c r="Y20" i="82" s="1"/>
  <c r="J47" i="66"/>
  <c r="M6" i="56"/>
  <c r="E6" i="56" s="1"/>
  <c r="M7" i="56"/>
  <c r="E7" i="56" s="1"/>
  <c r="M8" i="56"/>
  <c r="E8" i="56" s="1"/>
  <c r="M9" i="56"/>
  <c r="E9" i="56" s="1"/>
  <c r="M10" i="56"/>
  <c r="E10" i="56" s="1"/>
  <c r="M11" i="56"/>
  <c r="E11" i="56" s="1"/>
  <c r="M12" i="56"/>
  <c r="E12" i="56" s="1"/>
  <c r="M13" i="56"/>
  <c r="E13" i="56" s="1"/>
  <c r="M14" i="56"/>
  <c r="E14" i="56" s="1"/>
  <c r="M15" i="56"/>
  <c r="E15" i="56" s="1"/>
  <c r="M16" i="56"/>
  <c r="E16" i="56" s="1"/>
  <c r="M17" i="56"/>
  <c r="E17" i="56" s="1"/>
  <c r="M18" i="56"/>
  <c r="E18" i="56" s="1"/>
  <c r="M19" i="56"/>
  <c r="E19" i="56" s="1"/>
  <c r="M20" i="56"/>
  <c r="E20" i="56" s="1"/>
  <c r="M21" i="56"/>
  <c r="E21" i="56" s="1"/>
  <c r="M22" i="56"/>
  <c r="E22" i="56" s="1"/>
  <c r="M23" i="56"/>
  <c r="E23" i="56" s="1"/>
  <c r="M24" i="56"/>
  <c r="E24" i="56" s="1"/>
  <c r="M25" i="56"/>
  <c r="E25" i="56" s="1"/>
  <c r="M26" i="56"/>
  <c r="E26" i="56" s="1"/>
  <c r="D28" i="56"/>
  <c r="J45" i="66"/>
  <c r="J73" i="66"/>
  <c r="F5" i="60"/>
  <c r="C20" i="82" s="1"/>
  <c r="I6" i="60"/>
  <c r="D15" i="82" s="1"/>
  <c r="D13" i="82" s="1"/>
  <c r="F9" i="60"/>
  <c r="G20" i="82" s="1"/>
  <c r="F13" i="60"/>
  <c r="K20" i="82" s="1"/>
  <c r="N6" i="56"/>
  <c r="N7" i="56"/>
  <c r="N8" i="56"/>
  <c r="N9" i="56"/>
  <c r="N10" i="56"/>
  <c r="N11" i="56"/>
  <c r="N12" i="56"/>
  <c r="N13" i="56"/>
  <c r="N14" i="56"/>
  <c r="N15" i="56"/>
  <c r="N16" i="56"/>
  <c r="N17" i="56"/>
  <c r="N18" i="56"/>
  <c r="N19" i="56"/>
  <c r="N20" i="56"/>
  <c r="N21" i="56"/>
  <c r="N22" i="56"/>
  <c r="N23" i="56"/>
  <c r="N24" i="56"/>
  <c r="N25" i="56"/>
  <c r="N26" i="56"/>
  <c r="C15" i="82"/>
  <c r="I8" i="60"/>
  <c r="F15" i="82" s="1"/>
  <c r="F13" i="82" s="1"/>
  <c r="I9" i="60"/>
  <c r="G15" i="82" s="1"/>
  <c r="G13" i="82" s="1"/>
  <c r="F11" i="60"/>
  <c r="I20" i="82" s="1"/>
  <c r="F15" i="60"/>
  <c r="M20" i="82" s="1"/>
  <c r="F17" i="60"/>
  <c r="O20" i="82" s="1"/>
  <c r="F19" i="60"/>
  <c r="Q20" i="82" s="1"/>
  <c r="F21" i="60"/>
  <c r="S20" i="82" s="1"/>
  <c r="G1" i="56"/>
  <c r="J61" i="66"/>
  <c r="F7" i="60"/>
  <c r="E20" i="82" s="1"/>
  <c r="F23" i="60"/>
  <c r="U20" i="82" s="1"/>
  <c r="F29" i="60"/>
  <c r="AA20" i="82" s="1"/>
  <c r="AA16" i="82" s="1"/>
  <c r="M151" i="65"/>
  <c r="M132" i="65"/>
  <c r="M133" i="65" s="1"/>
  <c r="M134" i="65" s="1"/>
  <c r="M135" i="65" s="1"/>
  <c r="M136" i="65" s="1"/>
  <c r="M137" i="65" s="1"/>
  <c r="M138" i="65" s="1"/>
  <c r="M139" i="65" s="1"/>
  <c r="M140" i="65" s="1"/>
  <c r="M141" i="65" s="1"/>
  <c r="M142" i="65" s="1"/>
  <c r="M143" i="65" s="1"/>
  <c r="M144" i="65" s="1"/>
  <c r="M145" i="65" s="1"/>
  <c r="AH145" i="65" s="1"/>
  <c r="F47" i="55"/>
  <c r="E47" i="55" s="1"/>
  <c r="C47" i="55" s="1"/>
  <c r="F67" i="55"/>
  <c r="E67" i="55" s="1"/>
  <c r="C67" i="55" s="1"/>
  <c r="F39" i="55"/>
  <c r="E39" i="55" s="1"/>
  <c r="C39" i="55" s="1"/>
  <c r="F48" i="55"/>
  <c r="E48" i="55" s="1"/>
  <c r="C48" i="55" s="1"/>
  <c r="F59" i="55"/>
  <c r="E59" i="55" s="1"/>
  <c r="C59" i="55" s="1"/>
  <c r="T176" i="65"/>
  <c r="T177" i="65" s="1"/>
  <c r="T178" i="65" s="1"/>
  <c r="T179" i="65" s="1"/>
  <c r="T180" i="65" s="1"/>
  <c r="T181" i="65" s="1"/>
  <c r="T182" i="65" s="1"/>
  <c r="T183" i="65" s="1"/>
  <c r="T184" i="65" s="1"/>
  <c r="T185" i="65" s="1"/>
  <c r="T186" i="65" s="1"/>
  <c r="AH186" i="65" s="1"/>
  <c r="AB184" i="65"/>
  <c r="AB185" i="65" s="1"/>
  <c r="AB186" i="65" s="1"/>
  <c r="AB187" i="65" s="1"/>
  <c r="U214" i="65"/>
  <c r="U215" i="65" s="1"/>
  <c r="U216" i="65" s="1"/>
  <c r="U217" i="65" s="1"/>
  <c r="U218" i="65" s="1"/>
  <c r="U219" i="65" s="1"/>
  <c r="U220" i="65" s="1"/>
  <c r="U221" i="65" s="1"/>
  <c r="U222" i="65" s="1"/>
  <c r="AH222" i="65" s="1"/>
  <c r="F56" i="55"/>
  <c r="E56" i="55" s="1"/>
  <c r="C56" i="55" s="1"/>
  <c r="F40" i="55"/>
  <c r="E40" i="55" s="1"/>
  <c r="C40" i="55" s="1"/>
  <c r="F51" i="55"/>
  <c r="E51" i="55" s="1"/>
  <c r="C51" i="55" s="1"/>
  <c r="F63" i="55"/>
  <c r="E63" i="55" s="1"/>
  <c r="C63" i="55" s="1"/>
  <c r="X188" i="65"/>
  <c r="O208" i="65"/>
  <c r="O209" i="65" s="1"/>
  <c r="O210" i="65" s="1"/>
  <c r="O211" i="65" s="1"/>
  <c r="O212" i="65" s="1"/>
  <c r="O213" i="65" s="1"/>
  <c r="O214" i="65" s="1"/>
  <c r="O215" i="65" s="1"/>
  <c r="O216" i="65" s="1"/>
  <c r="AH216" i="65" s="1"/>
  <c r="H225" i="65"/>
  <c r="P283" i="65"/>
  <c r="P284" i="65" s="1"/>
  <c r="P285" i="65" s="1"/>
  <c r="P286" i="65" s="1"/>
  <c r="AH286" i="65" s="1"/>
  <c r="F43" i="55"/>
  <c r="E43" i="55" s="1"/>
  <c r="C43" i="55" s="1"/>
  <c r="F55" i="55"/>
  <c r="E55" i="55" s="1"/>
  <c r="C55" i="55" s="1"/>
  <c r="F64" i="55"/>
  <c r="E64" i="55" s="1"/>
  <c r="C64" i="55" s="1"/>
  <c r="AC222" i="65"/>
  <c r="AC223" i="65" s="1"/>
  <c r="AC224" i="65" s="1"/>
  <c r="X225" i="65"/>
  <c r="J4" i="29"/>
  <c r="J5" i="29"/>
  <c r="J6" i="29"/>
  <c r="H6" i="60"/>
  <c r="J8" i="29"/>
  <c r="C12" i="60"/>
  <c r="I7" i="60"/>
  <c r="E15" i="82" s="1"/>
  <c r="E13" i="82" s="1"/>
  <c r="F8" i="60"/>
  <c r="F20" i="82" s="1"/>
  <c r="I10" i="60"/>
  <c r="H15" i="82" s="1"/>
  <c r="H13" i="82" s="1"/>
  <c r="I12" i="60"/>
  <c r="J15" i="82" s="1"/>
  <c r="J13" i="82" s="1"/>
  <c r="I14" i="60"/>
  <c r="L15" i="82" s="1"/>
  <c r="L13" i="82" s="1"/>
  <c r="I16" i="60"/>
  <c r="N15" i="82" s="1"/>
  <c r="N13" i="82" s="1"/>
  <c r="I18" i="60"/>
  <c r="P15" i="82" s="1"/>
  <c r="P13" i="82" s="1"/>
  <c r="I20" i="60"/>
  <c r="R15" i="82" s="1"/>
  <c r="R13" i="82" s="1"/>
  <c r="I22" i="60"/>
  <c r="T15" i="82" s="1"/>
  <c r="T13" i="82" s="1"/>
  <c r="I24" i="60"/>
  <c r="V15" i="82" s="1"/>
  <c r="V13" i="82" s="1"/>
  <c r="I26" i="60"/>
  <c r="X15" i="82" s="1"/>
  <c r="X13" i="82" s="1"/>
  <c r="I28" i="60"/>
  <c r="Z15" i="82" s="1"/>
  <c r="Z13" i="82" s="1"/>
  <c r="I30" i="60"/>
  <c r="AB15" i="82" s="1"/>
  <c r="AB13" i="82" s="1"/>
  <c r="I32" i="60"/>
  <c r="AD15" i="82" s="1"/>
  <c r="AD13" i="82" s="1"/>
  <c r="I34" i="60"/>
  <c r="AF15" i="82" s="1"/>
  <c r="AF13" i="82" s="1"/>
  <c r="J42" i="66"/>
  <c r="J57" i="66"/>
  <c r="J71" i="66"/>
  <c r="J89" i="66"/>
  <c r="J54" i="66"/>
  <c r="J65" i="66"/>
  <c r="J87" i="66"/>
  <c r="F10" i="60"/>
  <c r="H20" i="82" s="1"/>
  <c r="I11" i="60"/>
  <c r="I15" i="82" s="1"/>
  <c r="I13" i="82" s="1"/>
  <c r="F12" i="60"/>
  <c r="J20" i="82" s="1"/>
  <c r="J16" i="82" s="1"/>
  <c r="I13" i="60"/>
  <c r="K15" i="82" s="1"/>
  <c r="K13" i="82" s="1"/>
  <c r="F14" i="60"/>
  <c r="L20" i="82" s="1"/>
  <c r="I15" i="60"/>
  <c r="M15" i="82" s="1"/>
  <c r="M13" i="82" s="1"/>
  <c r="F16" i="60"/>
  <c r="N20" i="82" s="1"/>
  <c r="I17" i="60"/>
  <c r="O15" i="82" s="1"/>
  <c r="O13" i="82" s="1"/>
  <c r="F18" i="60"/>
  <c r="P20" i="82" s="1"/>
  <c r="I19" i="60"/>
  <c r="Q15" i="82" s="1"/>
  <c r="Q13" i="82" s="1"/>
  <c r="F20" i="60"/>
  <c r="R20" i="82" s="1"/>
  <c r="I21" i="60"/>
  <c r="S15" i="82" s="1"/>
  <c r="S13" i="82" s="1"/>
  <c r="F22" i="60"/>
  <c r="T20" i="82" s="1"/>
  <c r="I23" i="60"/>
  <c r="U15" i="82" s="1"/>
  <c r="U13" i="82" s="1"/>
  <c r="F24" i="60"/>
  <c r="V20" i="82" s="1"/>
  <c r="I25" i="60"/>
  <c r="W15" i="82" s="1"/>
  <c r="W13" i="82" s="1"/>
  <c r="F26" i="60"/>
  <c r="X20" i="82" s="1"/>
  <c r="I27" i="60"/>
  <c r="Y15" i="82" s="1"/>
  <c r="Y13" i="82" s="1"/>
  <c r="F28" i="60"/>
  <c r="Z20" i="82" s="1"/>
  <c r="I29" i="60"/>
  <c r="AA15" i="82" s="1"/>
  <c r="AA13" i="82" s="1"/>
  <c r="F30" i="60"/>
  <c r="AB20" i="82" s="1"/>
  <c r="I31" i="60"/>
  <c r="AC15" i="82" s="1"/>
  <c r="AC13" i="82" s="1"/>
  <c r="F32" i="60"/>
  <c r="AD20" i="82" s="1"/>
  <c r="I33" i="60"/>
  <c r="AE15" i="82" s="1"/>
  <c r="AE13" i="82" s="1"/>
  <c r="D35" i="51"/>
  <c r="D37" i="51" s="1"/>
  <c r="J9" i="66"/>
  <c r="J13" i="66"/>
  <c r="J15" i="66"/>
  <c r="J17" i="66"/>
  <c r="J19" i="66"/>
  <c r="J21" i="66"/>
  <c r="J23" i="66"/>
  <c r="J26" i="66"/>
  <c r="J28" i="66"/>
  <c r="J30" i="66"/>
  <c r="J32" i="66"/>
  <c r="J34" i="66"/>
  <c r="J36" i="66"/>
  <c r="J5" i="66"/>
  <c r="D5" i="66" s="1"/>
  <c r="J43" i="66"/>
  <c r="J46" i="66"/>
  <c r="J51" i="66"/>
  <c r="J56" i="66"/>
  <c r="J58" i="66"/>
  <c r="J62" i="66"/>
  <c r="J64" i="66"/>
  <c r="J66" i="66"/>
  <c r="J72" i="66"/>
  <c r="J76" i="66"/>
  <c r="J86" i="66"/>
  <c r="J88" i="66"/>
  <c r="J90" i="66"/>
  <c r="J8" i="66"/>
  <c r="J12" i="66"/>
  <c r="J14" i="66"/>
  <c r="J16" i="66"/>
  <c r="J18" i="66"/>
  <c r="J20" i="66"/>
  <c r="J22" i="66"/>
  <c r="J25" i="66"/>
  <c r="J27" i="66"/>
  <c r="J29" i="66"/>
  <c r="J31" i="66"/>
  <c r="J33" i="66"/>
  <c r="H24" i="42"/>
  <c r="I24" i="42"/>
  <c r="G24" i="42"/>
  <c r="I23" i="52" s="1"/>
  <c r="E23" i="52" s="1"/>
  <c r="F23" i="52" s="1"/>
  <c r="H14" i="42"/>
  <c r="I14" i="42"/>
  <c r="H11" i="42"/>
  <c r="I18" i="42"/>
  <c r="K16" i="55"/>
  <c r="E16" i="55" s="1"/>
  <c r="F16" i="55" s="1"/>
  <c r="C17" i="53"/>
  <c r="E32" i="42"/>
  <c r="D32" i="42"/>
  <c r="N32" i="42"/>
  <c r="C5" i="53"/>
  <c r="E5" i="52"/>
  <c r="F5" i="52" s="1"/>
  <c r="K5" i="54"/>
  <c r="E5" i="54" s="1"/>
  <c r="F5" i="54" s="1"/>
  <c r="J5" i="32"/>
  <c r="E6" i="52"/>
  <c r="F6" i="52" s="1"/>
  <c r="K9" i="55"/>
  <c r="E9" i="55" s="1"/>
  <c r="F9" i="55" s="1"/>
  <c r="C10" i="53"/>
  <c r="K10" i="54"/>
  <c r="E10" i="54" s="1"/>
  <c r="F10" i="54" s="1"/>
  <c r="C11" i="53"/>
  <c r="K11" i="54"/>
  <c r="E11" i="54" s="1"/>
  <c r="F11" i="54" s="1"/>
  <c r="J11" i="32"/>
  <c r="K12" i="55"/>
  <c r="E12" i="55" s="1"/>
  <c r="F12" i="55" s="1"/>
  <c r="C13" i="53"/>
  <c r="D28" i="42"/>
  <c r="E28" i="42"/>
  <c r="N28" i="42"/>
  <c r="I26" i="42"/>
  <c r="D20" i="42"/>
  <c r="E20" i="42"/>
  <c r="D16" i="42"/>
  <c r="C15" i="19"/>
  <c r="N16" i="42"/>
  <c r="C16" i="42"/>
  <c r="I7" i="42"/>
  <c r="H7" i="42"/>
  <c r="G7" i="42"/>
  <c r="G14" i="42"/>
  <c r="I13" i="52" s="1"/>
  <c r="E13" i="52" s="1"/>
  <c r="F13" i="52" s="1"/>
  <c r="I6" i="42"/>
  <c r="H6" i="42"/>
  <c r="I10" i="42"/>
  <c r="H10" i="42"/>
  <c r="D24" i="42"/>
  <c r="E24" i="42"/>
  <c r="E16" i="42"/>
  <c r="N20" i="42"/>
  <c r="N12" i="42"/>
  <c r="J13" i="32"/>
  <c r="E5" i="42"/>
  <c r="N5" i="42"/>
  <c r="E6" i="42"/>
  <c r="D7" i="42"/>
  <c r="C8" i="42"/>
  <c r="N9" i="42"/>
  <c r="E10" i="42"/>
  <c r="D11" i="42"/>
  <c r="C12" i="42"/>
  <c r="N13" i="42"/>
  <c r="E14" i="42"/>
  <c r="D15" i="42"/>
  <c r="N17" i="42"/>
  <c r="C19" i="42"/>
  <c r="N19" i="42"/>
  <c r="N21" i="42"/>
  <c r="N23" i="42"/>
  <c r="N25" i="42"/>
  <c r="N27" i="42"/>
  <c r="N29" i="42"/>
  <c r="N31" i="42"/>
  <c r="N33" i="42"/>
  <c r="D6" i="42"/>
  <c r="C7" i="42"/>
  <c r="N8" i="42"/>
  <c r="E9" i="42"/>
  <c r="D10" i="42"/>
  <c r="C11" i="42"/>
  <c r="E13" i="42"/>
  <c r="E17" i="42"/>
  <c r="K13" i="54"/>
  <c r="E13" i="54" s="1"/>
  <c r="F13" i="54" s="1"/>
  <c r="R188" i="65"/>
  <c r="R174" i="65"/>
  <c r="R175" i="65" s="1"/>
  <c r="R176" i="65" s="1"/>
  <c r="R177" i="65" s="1"/>
  <c r="R178" i="65" s="1"/>
  <c r="R179" i="65" s="1"/>
  <c r="R180" i="65" s="1"/>
  <c r="R181" i="65" s="1"/>
  <c r="R182" i="65" s="1"/>
  <c r="R183" i="65" s="1"/>
  <c r="R184" i="65" s="1"/>
  <c r="AH184" i="65" s="1"/>
  <c r="E337" i="65"/>
  <c r="E310" i="65"/>
  <c r="E311" i="65" s="1"/>
  <c r="AH311" i="65" s="1"/>
  <c r="Y337" i="65"/>
  <c r="Y330" i="65"/>
  <c r="Y331" i="65" s="1"/>
  <c r="AH331" i="65" s="1"/>
  <c r="K114" i="65"/>
  <c r="K93" i="65"/>
  <c r="K94" i="65" s="1"/>
  <c r="K95" i="65" s="1"/>
  <c r="K96" i="65" s="1"/>
  <c r="K97" i="65" s="1"/>
  <c r="K98" i="65" s="1"/>
  <c r="K99" i="65" s="1"/>
  <c r="K100" i="65" s="1"/>
  <c r="K101" i="65" s="1"/>
  <c r="K102" i="65" s="1"/>
  <c r="K103" i="65" s="1"/>
  <c r="K104" i="65" s="1"/>
  <c r="K105" i="65" s="1"/>
  <c r="K106" i="65" s="1"/>
  <c r="K107" i="65" s="1"/>
  <c r="K108" i="65" s="1"/>
  <c r="K109" i="65" s="1"/>
  <c r="K110" i="65" s="1"/>
  <c r="K111" i="65" s="1"/>
  <c r="AH111" i="65" s="1"/>
  <c r="S114" i="65"/>
  <c r="S101" i="65"/>
  <c r="S102" i="65" s="1"/>
  <c r="S103" i="65" s="1"/>
  <c r="S104" i="65" s="1"/>
  <c r="S105" i="65" s="1"/>
  <c r="S106" i="65" s="1"/>
  <c r="S107" i="65" s="1"/>
  <c r="S108" i="65" s="1"/>
  <c r="S109" i="65" s="1"/>
  <c r="S110" i="65" s="1"/>
  <c r="S111" i="65" s="1"/>
  <c r="S112" i="65" s="1"/>
  <c r="S113" i="65" s="1"/>
  <c r="W105" i="65"/>
  <c r="W106" i="65" s="1"/>
  <c r="W107" i="65" s="1"/>
  <c r="W108" i="65" s="1"/>
  <c r="W109" i="65" s="1"/>
  <c r="W110" i="65" s="1"/>
  <c r="W111" i="65" s="1"/>
  <c r="W112" i="65" s="1"/>
  <c r="W113" i="65" s="1"/>
  <c r="W114" i="65"/>
  <c r="AE113" i="65"/>
  <c r="AE114" i="65"/>
  <c r="H299" i="65"/>
  <c r="H275" i="65"/>
  <c r="H276" i="65" s="1"/>
  <c r="H277" i="65" s="1"/>
  <c r="H278" i="65" s="1"/>
  <c r="AH278" i="65" s="1"/>
  <c r="I337" i="65"/>
  <c r="I314" i="65"/>
  <c r="I315" i="65" s="1"/>
  <c r="AH315" i="65" s="1"/>
  <c r="Q337" i="65"/>
  <c r="Q322" i="65"/>
  <c r="Q323" i="65" s="1"/>
  <c r="AH323" i="65" s="1"/>
  <c r="S151" i="65"/>
  <c r="S138" i="65"/>
  <c r="S139" i="65" s="1"/>
  <c r="S140" i="65" s="1"/>
  <c r="S141" i="65" s="1"/>
  <c r="S142" i="65" s="1"/>
  <c r="S143" i="65" s="1"/>
  <c r="S144" i="65" s="1"/>
  <c r="S145" i="65" s="1"/>
  <c r="S146" i="65" s="1"/>
  <c r="S147" i="65" s="1"/>
  <c r="S148" i="65" s="1"/>
  <c r="S149" i="65" s="1"/>
  <c r="S150" i="65" s="1"/>
  <c r="AE224" i="65"/>
  <c r="X261" i="65"/>
  <c r="N337" i="65"/>
  <c r="AD337" i="65"/>
  <c r="V178" i="65"/>
  <c r="V179" i="65" s="1"/>
  <c r="V180" i="65" s="1"/>
  <c r="V181" i="65" s="1"/>
  <c r="V182" i="65" s="1"/>
  <c r="V183" i="65" s="1"/>
  <c r="V184" i="65" s="1"/>
  <c r="V185" i="65" s="1"/>
  <c r="V186" i="65" s="1"/>
  <c r="V187" i="65" s="1"/>
  <c r="Z182" i="65"/>
  <c r="Z183" i="65" s="1"/>
  <c r="Z184" i="65" s="1"/>
  <c r="Z185" i="65" s="1"/>
  <c r="Z186" i="65" s="1"/>
  <c r="Z187" i="65" s="1"/>
  <c r="AD186" i="65"/>
  <c r="AD187" i="65" s="1"/>
  <c r="M206" i="65"/>
  <c r="M207" i="65" s="1"/>
  <c r="M208" i="65" s="1"/>
  <c r="M209" i="65" s="1"/>
  <c r="M210" i="65" s="1"/>
  <c r="M211" i="65" s="1"/>
  <c r="M212" i="65" s="1"/>
  <c r="M213" i="65" s="1"/>
  <c r="M214" i="65" s="1"/>
  <c r="AH214" i="65" s="1"/>
  <c r="L261" i="65"/>
  <c r="AB261" i="65"/>
  <c r="N281" i="65"/>
  <c r="N282" i="65" s="1"/>
  <c r="N283" i="65" s="1"/>
  <c r="N284" i="65" s="1"/>
  <c r="AH284" i="65" s="1"/>
  <c r="V289" i="65"/>
  <c r="V290" i="65" s="1"/>
  <c r="V291" i="65" s="1"/>
  <c r="V292" i="65" s="1"/>
  <c r="AH292" i="65" s="1"/>
  <c r="AD297" i="65"/>
  <c r="AD298" i="65" s="1"/>
  <c r="W299" i="65"/>
  <c r="R337" i="65"/>
  <c r="F44" i="55"/>
  <c r="E44" i="55" s="1"/>
  <c r="C44" i="55" s="1"/>
  <c r="F52" i="55"/>
  <c r="E52" i="55" s="1"/>
  <c r="C52" i="55" s="1"/>
  <c r="F60" i="55"/>
  <c r="E60" i="55" s="1"/>
  <c r="C60" i="55" s="1"/>
  <c r="S212" i="65"/>
  <c r="S213" i="65" s="1"/>
  <c r="S214" i="65" s="1"/>
  <c r="S215" i="65" s="1"/>
  <c r="S216" i="65" s="1"/>
  <c r="S217" i="65" s="1"/>
  <c r="S218" i="65" s="1"/>
  <c r="S219" i="65" s="1"/>
  <c r="S220" i="65" s="1"/>
  <c r="AH220" i="65" s="1"/>
  <c r="AA220" i="65"/>
  <c r="AA221" i="65" s="1"/>
  <c r="AA222" i="65" s="1"/>
  <c r="AA223" i="65" s="1"/>
  <c r="AA224" i="65" s="1"/>
  <c r="P225" i="65"/>
  <c r="P261" i="65"/>
  <c r="L279" i="65"/>
  <c r="L280" i="65" s="1"/>
  <c r="L281" i="65" s="1"/>
  <c r="L282" i="65" s="1"/>
  <c r="AH282" i="65" s="1"/>
  <c r="T287" i="65"/>
  <c r="T288" i="65" s="1"/>
  <c r="T289" i="65" s="1"/>
  <c r="T290" i="65" s="1"/>
  <c r="AH290" i="65" s="1"/>
  <c r="AB295" i="65"/>
  <c r="AB296" i="65" s="1"/>
  <c r="AB297" i="65" s="1"/>
  <c r="AB298" i="65" s="1"/>
  <c r="AH298" i="65" s="1"/>
  <c r="AE299" i="65"/>
  <c r="F337" i="65"/>
  <c r="V337" i="65"/>
  <c r="S175" i="65"/>
  <c r="S176" i="65" s="1"/>
  <c r="S177" i="65" s="1"/>
  <c r="S178" i="65" s="1"/>
  <c r="S179" i="65" s="1"/>
  <c r="S180" i="65" s="1"/>
  <c r="S181" i="65" s="1"/>
  <c r="S182" i="65" s="1"/>
  <c r="S183" i="65" s="1"/>
  <c r="S184" i="65" s="1"/>
  <c r="S185" i="65" s="1"/>
  <c r="AH185" i="65" s="1"/>
  <c r="Q210" i="65"/>
  <c r="Q211" i="65" s="1"/>
  <c r="Q212" i="65" s="1"/>
  <c r="Q213" i="65" s="1"/>
  <c r="Q214" i="65" s="1"/>
  <c r="Q215" i="65" s="1"/>
  <c r="Q216" i="65" s="1"/>
  <c r="Q217" i="65" s="1"/>
  <c r="Q218" i="65" s="1"/>
  <c r="AH218" i="65" s="1"/>
  <c r="Y218" i="65"/>
  <c r="Y219" i="65" s="1"/>
  <c r="Y220" i="65" s="1"/>
  <c r="Y221" i="65" s="1"/>
  <c r="Y222" i="65" s="1"/>
  <c r="Y223" i="65" s="1"/>
  <c r="Y224" i="65" s="1"/>
  <c r="T261" i="65"/>
  <c r="E272" i="65"/>
  <c r="E273" i="65" s="1"/>
  <c r="E274" i="65" s="1"/>
  <c r="E275" i="65" s="1"/>
  <c r="AH275" i="65" s="1"/>
  <c r="J277" i="65"/>
  <c r="J278" i="65" s="1"/>
  <c r="J279" i="65" s="1"/>
  <c r="J280" i="65" s="1"/>
  <c r="AH280" i="65" s="1"/>
  <c r="R285" i="65"/>
  <c r="R286" i="65" s="1"/>
  <c r="R287" i="65" s="1"/>
  <c r="R288" i="65" s="1"/>
  <c r="AH288" i="65" s="1"/>
  <c r="Z293" i="65"/>
  <c r="Z294" i="65" s="1"/>
  <c r="Z295" i="65" s="1"/>
  <c r="Z296" i="65" s="1"/>
  <c r="AH296" i="65" s="1"/>
  <c r="G299" i="65"/>
  <c r="M318" i="65"/>
  <c r="M319" i="65" s="1"/>
  <c r="AH319" i="65" s="1"/>
  <c r="U326" i="65"/>
  <c r="U327" i="65" s="1"/>
  <c r="AH327" i="65" s="1"/>
  <c r="AC334" i="65"/>
  <c r="AC335" i="65" s="1"/>
  <c r="AH335" i="65" s="1"/>
  <c r="J337" i="65"/>
  <c r="Z337" i="65"/>
  <c r="F7" i="27"/>
  <c r="D39" i="27"/>
  <c r="Q6" i="29"/>
  <c r="E77" i="65"/>
  <c r="E50" i="65"/>
  <c r="E51" i="65" s="1"/>
  <c r="E52" i="65" s="1"/>
  <c r="E53" i="65" s="1"/>
  <c r="E54" i="65" s="1"/>
  <c r="E55" i="65" s="1"/>
  <c r="E56" i="65" s="1"/>
  <c r="E57" i="65" s="1"/>
  <c r="E58" i="65" s="1"/>
  <c r="E59" i="65" s="1"/>
  <c r="E60" i="65" s="1"/>
  <c r="E61" i="65" s="1"/>
  <c r="E62" i="65" s="1"/>
  <c r="E63" i="65" s="1"/>
  <c r="E64" i="65" s="1"/>
  <c r="E65" i="65" s="1"/>
  <c r="E66" i="65" s="1"/>
  <c r="E67" i="65" s="1"/>
  <c r="E68" i="65" s="1"/>
  <c r="E69" i="65" s="1"/>
  <c r="E70" i="65" s="1"/>
  <c r="E71" i="65" s="1"/>
  <c r="E72" i="65" s="1"/>
  <c r="E73" i="65" s="1"/>
  <c r="AH73" i="65" s="1"/>
  <c r="I54" i="65"/>
  <c r="I55" i="65" s="1"/>
  <c r="I56" i="65" s="1"/>
  <c r="I57" i="65" s="1"/>
  <c r="I58" i="65" s="1"/>
  <c r="I59" i="65" s="1"/>
  <c r="I60" i="65" s="1"/>
  <c r="I61" i="65" s="1"/>
  <c r="I62" i="65" s="1"/>
  <c r="I63" i="65" s="1"/>
  <c r="I64" i="65" s="1"/>
  <c r="I65" i="65" s="1"/>
  <c r="I66" i="65" s="1"/>
  <c r="I67" i="65" s="1"/>
  <c r="I68" i="65" s="1"/>
  <c r="I69" i="65" s="1"/>
  <c r="I70" i="65" s="1"/>
  <c r="I71" i="65" s="1"/>
  <c r="I72" i="65" s="1"/>
  <c r="I73" i="65" s="1"/>
  <c r="I74" i="65" s="1"/>
  <c r="I75" i="65" s="1"/>
  <c r="I76" i="65" s="1"/>
  <c r="I77" i="65"/>
  <c r="M77" i="65"/>
  <c r="M58" i="65"/>
  <c r="M59" i="65" s="1"/>
  <c r="M60" i="65" s="1"/>
  <c r="M61" i="65" s="1"/>
  <c r="M62" i="65" s="1"/>
  <c r="M63" i="65" s="1"/>
  <c r="M64" i="65" s="1"/>
  <c r="M65" i="65" s="1"/>
  <c r="M66" i="65" s="1"/>
  <c r="M67" i="65" s="1"/>
  <c r="M68" i="65" s="1"/>
  <c r="M69" i="65" s="1"/>
  <c r="M70" i="65" s="1"/>
  <c r="M71" i="65" s="1"/>
  <c r="M72" i="65" s="1"/>
  <c r="M73" i="65" s="1"/>
  <c r="M74" i="65" s="1"/>
  <c r="M75" i="65" s="1"/>
  <c r="M76" i="65" s="1"/>
  <c r="Q77" i="65"/>
  <c r="Q62" i="65"/>
  <c r="Q63" i="65" s="1"/>
  <c r="Q64" i="65" s="1"/>
  <c r="Q65" i="65" s="1"/>
  <c r="Q66" i="65" s="1"/>
  <c r="Q67" i="65" s="1"/>
  <c r="Q68" i="65" s="1"/>
  <c r="Q69" i="65" s="1"/>
  <c r="Q70" i="65" s="1"/>
  <c r="Q71" i="65" s="1"/>
  <c r="Q72" i="65" s="1"/>
  <c r="Q73" i="65" s="1"/>
  <c r="Q74" i="65" s="1"/>
  <c r="Q75" i="65" s="1"/>
  <c r="Q76" i="65" s="1"/>
  <c r="U77" i="65"/>
  <c r="U66" i="65"/>
  <c r="U67" i="65" s="1"/>
  <c r="U68" i="65" s="1"/>
  <c r="U69" i="65" s="1"/>
  <c r="U70" i="65" s="1"/>
  <c r="U71" i="65" s="1"/>
  <c r="U72" i="65" s="1"/>
  <c r="U73" i="65" s="1"/>
  <c r="U74" i="65" s="1"/>
  <c r="U75" i="65" s="1"/>
  <c r="U76" i="65" s="1"/>
  <c r="Y77" i="65"/>
  <c r="Y70" i="65"/>
  <c r="Y71" i="65" s="1"/>
  <c r="Y72" i="65" s="1"/>
  <c r="Y73" i="65" s="1"/>
  <c r="Y74" i="65" s="1"/>
  <c r="Y75" i="65" s="1"/>
  <c r="Y76" i="65" s="1"/>
  <c r="AC74" i="65"/>
  <c r="AC75" i="65" s="1"/>
  <c r="AC76" i="65" s="1"/>
  <c r="AC77" i="65"/>
  <c r="Q7" i="29"/>
  <c r="F77" i="65"/>
  <c r="F51" i="65"/>
  <c r="F52" i="65" s="1"/>
  <c r="F53" i="65" s="1"/>
  <c r="F54" i="65" s="1"/>
  <c r="F55" i="65" s="1"/>
  <c r="F56" i="65" s="1"/>
  <c r="F57" i="65" s="1"/>
  <c r="F58" i="65" s="1"/>
  <c r="F59" i="65" s="1"/>
  <c r="F60" i="65" s="1"/>
  <c r="F61" i="65" s="1"/>
  <c r="F62" i="65" s="1"/>
  <c r="F63" i="65" s="1"/>
  <c r="F64" i="65" s="1"/>
  <c r="F65" i="65" s="1"/>
  <c r="F66" i="65" s="1"/>
  <c r="F67" i="65" s="1"/>
  <c r="F68" i="65" s="1"/>
  <c r="F69" i="65" s="1"/>
  <c r="F70" i="65" s="1"/>
  <c r="F71" i="65" s="1"/>
  <c r="F72" i="65" s="1"/>
  <c r="F73" i="65" s="1"/>
  <c r="F74" i="65" s="1"/>
  <c r="AH74" i="65" s="1"/>
  <c r="J77" i="65"/>
  <c r="J55" i="65"/>
  <c r="J56" i="65" s="1"/>
  <c r="J57" i="65" s="1"/>
  <c r="J58" i="65" s="1"/>
  <c r="J59" i="65" s="1"/>
  <c r="J60" i="65" s="1"/>
  <c r="J61" i="65" s="1"/>
  <c r="J62" i="65" s="1"/>
  <c r="J63" i="65" s="1"/>
  <c r="J64" i="65" s="1"/>
  <c r="J65" i="65" s="1"/>
  <c r="J66" i="65" s="1"/>
  <c r="J67" i="65" s="1"/>
  <c r="J68" i="65" s="1"/>
  <c r="J69" i="65" s="1"/>
  <c r="J70" i="65" s="1"/>
  <c r="J71" i="65" s="1"/>
  <c r="J72" i="65" s="1"/>
  <c r="J73" i="65" s="1"/>
  <c r="J74" i="65" s="1"/>
  <c r="J75" i="65" s="1"/>
  <c r="J76" i="65" s="1"/>
  <c r="N77" i="65"/>
  <c r="N59" i="65"/>
  <c r="N60" i="65" s="1"/>
  <c r="N61" i="65" s="1"/>
  <c r="N62" i="65" s="1"/>
  <c r="N63" i="65" s="1"/>
  <c r="N64" i="65" s="1"/>
  <c r="N65" i="65" s="1"/>
  <c r="N66" i="65" s="1"/>
  <c r="N67" i="65" s="1"/>
  <c r="N68" i="65" s="1"/>
  <c r="N69" i="65" s="1"/>
  <c r="N70" i="65" s="1"/>
  <c r="N71" i="65" s="1"/>
  <c r="N72" i="65" s="1"/>
  <c r="N73" i="65" s="1"/>
  <c r="N74" i="65" s="1"/>
  <c r="N75" i="65" s="1"/>
  <c r="N76" i="65" s="1"/>
  <c r="R77" i="65"/>
  <c r="R63" i="65"/>
  <c r="R64" i="65" s="1"/>
  <c r="R65" i="65" s="1"/>
  <c r="R66" i="65" s="1"/>
  <c r="R67" i="65" s="1"/>
  <c r="R68" i="65" s="1"/>
  <c r="R69" i="65" s="1"/>
  <c r="R70" i="65" s="1"/>
  <c r="R71" i="65" s="1"/>
  <c r="R72" i="65" s="1"/>
  <c r="R73" i="65" s="1"/>
  <c r="R74" i="65" s="1"/>
  <c r="R75" i="65" s="1"/>
  <c r="R76" i="65" s="1"/>
  <c r="V77" i="65"/>
  <c r="V67" i="65"/>
  <c r="V68" i="65" s="1"/>
  <c r="V69" i="65" s="1"/>
  <c r="V70" i="65" s="1"/>
  <c r="V71" i="65" s="1"/>
  <c r="V72" i="65" s="1"/>
  <c r="V73" i="65" s="1"/>
  <c r="V74" i="65" s="1"/>
  <c r="V75" i="65" s="1"/>
  <c r="V76" i="65" s="1"/>
  <c r="Z77" i="65"/>
  <c r="Z71" i="65"/>
  <c r="Z72" i="65" s="1"/>
  <c r="Z73" i="65" s="1"/>
  <c r="Z74" i="65" s="1"/>
  <c r="Z75" i="65" s="1"/>
  <c r="Z76" i="65" s="1"/>
  <c r="AD77" i="65"/>
  <c r="AD75" i="65"/>
  <c r="AD76" i="65" s="1"/>
  <c r="Q8" i="29"/>
  <c r="G52" i="65"/>
  <c r="G53" i="65" s="1"/>
  <c r="G54" i="65" s="1"/>
  <c r="G55" i="65" s="1"/>
  <c r="G56" i="65" s="1"/>
  <c r="G57" i="65" s="1"/>
  <c r="G58" i="65" s="1"/>
  <c r="G59" i="65" s="1"/>
  <c r="G60" i="65" s="1"/>
  <c r="G61" i="65" s="1"/>
  <c r="G62" i="65" s="1"/>
  <c r="G63" i="65" s="1"/>
  <c r="G64" i="65" s="1"/>
  <c r="G65" i="65" s="1"/>
  <c r="G66" i="65" s="1"/>
  <c r="G67" i="65" s="1"/>
  <c r="G68" i="65" s="1"/>
  <c r="G69" i="65" s="1"/>
  <c r="G70" i="65" s="1"/>
  <c r="G71" i="65" s="1"/>
  <c r="G72" i="65" s="1"/>
  <c r="G73" i="65" s="1"/>
  <c r="G74" i="65" s="1"/>
  <c r="G75" i="65" s="1"/>
  <c r="AH75" i="65" s="1"/>
  <c r="G77" i="65"/>
  <c r="K77" i="65"/>
  <c r="K56" i="65"/>
  <c r="K57" i="65" s="1"/>
  <c r="K58" i="65" s="1"/>
  <c r="K59" i="65" s="1"/>
  <c r="K60" i="65" s="1"/>
  <c r="K61" i="65" s="1"/>
  <c r="K62" i="65" s="1"/>
  <c r="K63" i="65" s="1"/>
  <c r="K64" i="65" s="1"/>
  <c r="K65" i="65" s="1"/>
  <c r="K66" i="65" s="1"/>
  <c r="K67" i="65" s="1"/>
  <c r="K68" i="65" s="1"/>
  <c r="K69" i="65" s="1"/>
  <c r="K70" i="65" s="1"/>
  <c r="K71" i="65" s="1"/>
  <c r="K72" i="65" s="1"/>
  <c r="K73" i="65" s="1"/>
  <c r="K74" i="65" s="1"/>
  <c r="K75" i="65" s="1"/>
  <c r="K76" i="65" s="1"/>
  <c r="O77" i="65"/>
  <c r="O60" i="65"/>
  <c r="O61" i="65" s="1"/>
  <c r="O62" i="65" s="1"/>
  <c r="O63" i="65" s="1"/>
  <c r="O64" i="65" s="1"/>
  <c r="O65" i="65" s="1"/>
  <c r="O66" i="65" s="1"/>
  <c r="O67" i="65" s="1"/>
  <c r="O68" i="65" s="1"/>
  <c r="O69" i="65" s="1"/>
  <c r="O70" i="65" s="1"/>
  <c r="O71" i="65" s="1"/>
  <c r="O72" i="65" s="1"/>
  <c r="O73" i="65" s="1"/>
  <c r="O74" i="65" s="1"/>
  <c r="O75" i="65" s="1"/>
  <c r="O76" i="65" s="1"/>
  <c r="S77" i="65"/>
  <c r="S64" i="65"/>
  <c r="S65" i="65" s="1"/>
  <c r="S66" i="65" s="1"/>
  <c r="S67" i="65" s="1"/>
  <c r="S68" i="65" s="1"/>
  <c r="S69" i="65" s="1"/>
  <c r="S70" i="65" s="1"/>
  <c r="S71" i="65" s="1"/>
  <c r="S72" i="65" s="1"/>
  <c r="S73" i="65" s="1"/>
  <c r="S74" i="65" s="1"/>
  <c r="S75" i="65" s="1"/>
  <c r="S76" i="65" s="1"/>
  <c r="W77" i="65"/>
  <c r="W68" i="65"/>
  <c r="W69" i="65" s="1"/>
  <c r="W70" i="65" s="1"/>
  <c r="W71" i="65" s="1"/>
  <c r="W72" i="65" s="1"/>
  <c r="W73" i="65" s="1"/>
  <c r="W74" i="65" s="1"/>
  <c r="W75" i="65" s="1"/>
  <c r="W76" i="65" s="1"/>
  <c r="Q5" i="29"/>
  <c r="Q9" i="29"/>
  <c r="H53" i="65"/>
  <c r="H54" i="65" s="1"/>
  <c r="H55" i="65" s="1"/>
  <c r="H56" i="65" s="1"/>
  <c r="H57" i="65" s="1"/>
  <c r="H58" i="65" s="1"/>
  <c r="H59" i="65" s="1"/>
  <c r="H60" i="65" s="1"/>
  <c r="H61" i="65" s="1"/>
  <c r="H62" i="65" s="1"/>
  <c r="H63" i="65" s="1"/>
  <c r="H64" i="65" s="1"/>
  <c r="H65" i="65" s="1"/>
  <c r="H66" i="65" s="1"/>
  <c r="H67" i="65" s="1"/>
  <c r="H68" i="65" s="1"/>
  <c r="H69" i="65" s="1"/>
  <c r="H70" i="65" s="1"/>
  <c r="H71" i="65" s="1"/>
  <c r="H72" i="65" s="1"/>
  <c r="H73" i="65" s="1"/>
  <c r="H74" i="65" s="1"/>
  <c r="H75" i="65" s="1"/>
  <c r="H76" i="65" s="1"/>
  <c r="AH76" i="65" s="1"/>
  <c r="H77" i="65"/>
  <c r="L77" i="65"/>
  <c r="L57" i="65"/>
  <c r="L58" i="65" s="1"/>
  <c r="L59" i="65" s="1"/>
  <c r="L60" i="65" s="1"/>
  <c r="L61" i="65" s="1"/>
  <c r="L62" i="65" s="1"/>
  <c r="L63" i="65" s="1"/>
  <c r="L64" i="65" s="1"/>
  <c r="L65" i="65" s="1"/>
  <c r="L66" i="65" s="1"/>
  <c r="L67" i="65" s="1"/>
  <c r="L68" i="65" s="1"/>
  <c r="L69" i="65" s="1"/>
  <c r="L70" i="65" s="1"/>
  <c r="L71" i="65" s="1"/>
  <c r="L72" i="65" s="1"/>
  <c r="L73" i="65" s="1"/>
  <c r="L74" i="65" s="1"/>
  <c r="L75" i="65" s="1"/>
  <c r="L76" i="65" s="1"/>
  <c r="P77" i="65"/>
  <c r="P61" i="65"/>
  <c r="P62" i="65" s="1"/>
  <c r="P63" i="65" s="1"/>
  <c r="P64" i="65" s="1"/>
  <c r="P65" i="65" s="1"/>
  <c r="P66" i="65" s="1"/>
  <c r="P67" i="65" s="1"/>
  <c r="P68" i="65" s="1"/>
  <c r="P69" i="65" s="1"/>
  <c r="P70" i="65" s="1"/>
  <c r="P71" i="65" s="1"/>
  <c r="P72" i="65" s="1"/>
  <c r="P73" i="65" s="1"/>
  <c r="P74" i="65" s="1"/>
  <c r="P75" i="65" s="1"/>
  <c r="P76" i="65" s="1"/>
  <c r="T77" i="65"/>
  <c r="T65" i="65"/>
  <c r="T66" i="65" s="1"/>
  <c r="T67" i="65" s="1"/>
  <c r="T68" i="65" s="1"/>
  <c r="T69" i="65" s="1"/>
  <c r="T70" i="65" s="1"/>
  <c r="T71" i="65" s="1"/>
  <c r="T72" i="65" s="1"/>
  <c r="T73" i="65" s="1"/>
  <c r="T74" i="65" s="1"/>
  <c r="T75" i="65" s="1"/>
  <c r="T76" i="65" s="1"/>
  <c r="X69" i="65"/>
  <c r="X70" i="65" s="1"/>
  <c r="X71" i="65" s="1"/>
  <c r="X72" i="65" s="1"/>
  <c r="X73" i="65" s="1"/>
  <c r="X74" i="65" s="1"/>
  <c r="X75" i="65" s="1"/>
  <c r="X76" i="65" s="1"/>
  <c r="X77" i="65"/>
  <c r="AB77" i="65"/>
  <c r="AB73" i="65"/>
  <c r="AB74" i="65" s="1"/>
  <c r="AB75" i="65" s="1"/>
  <c r="AB76" i="65" s="1"/>
  <c r="J92" i="65"/>
  <c r="J93" i="65" s="1"/>
  <c r="J94" i="65" s="1"/>
  <c r="J95" i="65" s="1"/>
  <c r="J96" i="65" s="1"/>
  <c r="J97" i="65" s="1"/>
  <c r="J98" i="65" s="1"/>
  <c r="J99" i="65" s="1"/>
  <c r="J100" i="65" s="1"/>
  <c r="J101" i="65" s="1"/>
  <c r="J102" i="65" s="1"/>
  <c r="J103" i="65" s="1"/>
  <c r="J104" i="65" s="1"/>
  <c r="J105" i="65" s="1"/>
  <c r="J106" i="65" s="1"/>
  <c r="J107" i="65" s="1"/>
  <c r="J108" i="65" s="1"/>
  <c r="J109" i="65" s="1"/>
  <c r="J110" i="65" s="1"/>
  <c r="AH110" i="65" s="1"/>
  <c r="J114" i="65"/>
  <c r="D85" i="65"/>
  <c r="AH81" i="65"/>
  <c r="B81" i="65" s="1"/>
  <c r="H114" i="65"/>
  <c r="H90" i="65"/>
  <c r="H91" i="65" s="1"/>
  <c r="H92" i="65" s="1"/>
  <c r="H93" i="65" s="1"/>
  <c r="H94" i="65" s="1"/>
  <c r="H95" i="65" s="1"/>
  <c r="H96" i="65" s="1"/>
  <c r="H97" i="65" s="1"/>
  <c r="H98" i="65" s="1"/>
  <c r="H99" i="65" s="1"/>
  <c r="H100" i="65" s="1"/>
  <c r="H101" i="65" s="1"/>
  <c r="H102" i="65" s="1"/>
  <c r="H103" i="65" s="1"/>
  <c r="H104" i="65" s="1"/>
  <c r="H105" i="65" s="1"/>
  <c r="H106" i="65" s="1"/>
  <c r="H107" i="65" s="1"/>
  <c r="H108" i="65" s="1"/>
  <c r="AH108" i="65" s="1"/>
  <c r="L114" i="65"/>
  <c r="L94" i="65"/>
  <c r="L95" i="65" s="1"/>
  <c r="L96" i="65" s="1"/>
  <c r="L97" i="65" s="1"/>
  <c r="L98" i="65" s="1"/>
  <c r="L99" i="65" s="1"/>
  <c r="L100" i="65" s="1"/>
  <c r="L101" i="65" s="1"/>
  <c r="L102" i="65" s="1"/>
  <c r="L103" i="65" s="1"/>
  <c r="L104" i="65" s="1"/>
  <c r="L105" i="65" s="1"/>
  <c r="L106" i="65" s="1"/>
  <c r="L107" i="65" s="1"/>
  <c r="L108" i="65" s="1"/>
  <c r="L109" i="65" s="1"/>
  <c r="L110" i="65" s="1"/>
  <c r="L111" i="65" s="1"/>
  <c r="L112" i="65" s="1"/>
  <c r="AH112" i="65" s="1"/>
  <c r="P114" i="65"/>
  <c r="P98" i="65"/>
  <c r="P99" i="65" s="1"/>
  <c r="P100" i="65" s="1"/>
  <c r="P101" i="65" s="1"/>
  <c r="P102" i="65" s="1"/>
  <c r="P103" i="65" s="1"/>
  <c r="P104" i="65" s="1"/>
  <c r="P105" i="65" s="1"/>
  <c r="P106" i="65" s="1"/>
  <c r="P107" i="65" s="1"/>
  <c r="P108" i="65" s="1"/>
  <c r="P109" i="65" s="1"/>
  <c r="P110" i="65" s="1"/>
  <c r="P111" i="65" s="1"/>
  <c r="P112" i="65" s="1"/>
  <c r="P113" i="65" s="1"/>
  <c r="T114" i="65"/>
  <c r="T102" i="65"/>
  <c r="T103" i="65" s="1"/>
  <c r="T104" i="65" s="1"/>
  <c r="T105" i="65" s="1"/>
  <c r="T106" i="65" s="1"/>
  <c r="T107" i="65" s="1"/>
  <c r="T108" i="65" s="1"/>
  <c r="T109" i="65" s="1"/>
  <c r="T110" i="65" s="1"/>
  <c r="T111" i="65" s="1"/>
  <c r="T112" i="65" s="1"/>
  <c r="T113" i="65" s="1"/>
  <c r="X114" i="65"/>
  <c r="X106" i="65"/>
  <c r="X107" i="65" s="1"/>
  <c r="X108" i="65" s="1"/>
  <c r="X109" i="65" s="1"/>
  <c r="X110" i="65" s="1"/>
  <c r="X111" i="65" s="1"/>
  <c r="X112" i="65" s="1"/>
  <c r="X113" i="65" s="1"/>
  <c r="AB114" i="65"/>
  <c r="AB110" i="65"/>
  <c r="AB111" i="65" s="1"/>
  <c r="AB112" i="65" s="1"/>
  <c r="AB113" i="65" s="1"/>
  <c r="D48" i="65"/>
  <c r="AA72" i="65"/>
  <c r="AA73" i="65" s="1"/>
  <c r="AA74" i="65" s="1"/>
  <c r="AA75" i="65" s="1"/>
  <c r="AA76" i="65" s="1"/>
  <c r="E87" i="65"/>
  <c r="E88" i="65" s="1"/>
  <c r="E89" i="65" s="1"/>
  <c r="E90" i="65" s="1"/>
  <c r="E91" i="65" s="1"/>
  <c r="E92" i="65" s="1"/>
  <c r="E93" i="65" s="1"/>
  <c r="E94" i="65" s="1"/>
  <c r="E95" i="65" s="1"/>
  <c r="E96" i="65" s="1"/>
  <c r="E97" i="65" s="1"/>
  <c r="E98" i="65" s="1"/>
  <c r="E99" i="65" s="1"/>
  <c r="E100" i="65" s="1"/>
  <c r="E101" i="65" s="1"/>
  <c r="E102" i="65" s="1"/>
  <c r="E103" i="65" s="1"/>
  <c r="E104" i="65" s="1"/>
  <c r="E105" i="65" s="1"/>
  <c r="AH105" i="65" s="1"/>
  <c r="E114" i="65"/>
  <c r="AC111" i="65"/>
  <c r="AC112" i="65" s="1"/>
  <c r="AC113" i="65" s="1"/>
  <c r="AC114" i="65"/>
  <c r="AH122" i="65"/>
  <c r="AH151" i="65" s="1"/>
  <c r="D151" i="65"/>
  <c r="D123" i="65"/>
  <c r="H151" i="65"/>
  <c r="H127" i="65"/>
  <c r="H128" i="65" s="1"/>
  <c r="H129" i="65" s="1"/>
  <c r="H130" i="65" s="1"/>
  <c r="H131" i="65" s="1"/>
  <c r="H132" i="65" s="1"/>
  <c r="H133" i="65" s="1"/>
  <c r="H134" i="65" s="1"/>
  <c r="H135" i="65" s="1"/>
  <c r="H136" i="65" s="1"/>
  <c r="H137" i="65" s="1"/>
  <c r="H138" i="65" s="1"/>
  <c r="H139" i="65" s="1"/>
  <c r="H140" i="65" s="1"/>
  <c r="AH140" i="65" s="1"/>
  <c r="P151" i="65"/>
  <c r="P135" i="65"/>
  <c r="P136" i="65" s="1"/>
  <c r="P137" i="65" s="1"/>
  <c r="P138" i="65" s="1"/>
  <c r="P139" i="65" s="1"/>
  <c r="P140" i="65" s="1"/>
  <c r="P141" i="65" s="1"/>
  <c r="P142" i="65" s="1"/>
  <c r="P143" i="65" s="1"/>
  <c r="P144" i="65" s="1"/>
  <c r="P145" i="65" s="1"/>
  <c r="P146" i="65" s="1"/>
  <c r="P147" i="65" s="1"/>
  <c r="P148" i="65" s="1"/>
  <c r="AH148" i="65" s="1"/>
  <c r="F41" i="55"/>
  <c r="E41" i="55" s="1"/>
  <c r="C41" i="55" s="1"/>
  <c r="F45" i="55"/>
  <c r="E45" i="55" s="1"/>
  <c r="C45" i="55" s="1"/>
  <c r="F49" i="55"/>
  <c r="E49" i="55" s="1"/>
  <c r="C49" i="55" s="1"/>
  <c r="F53" i="55"/>
  <c r="E53" i="55" s="1"/>
  <c r="C53" i="55" s="1"/>
  <c r="F57" i="55"/>
  <c r="E57" i="55" s="1"/>
  <c r="C57" i="55" s="1"/>
  <c r="F61" i="55"/>
  <c r="E61" i="55" s="1"/>
  <c r="C61" i="55" s="1"/>
  <c r="F65" i="55"/>
  <c r="E65" i="55" s="1"/>
  <c r="C65" i="55" s="1"/>
  <c r="AH44" i="65"/>
  <c r="F114" i="65"/>
  <c r="F88" i="65"/>
  <c r="F89" i="65" s="1"/>
  <c r="F90" i="65" s="1"/>
  <c r="F91" i="65" s="1"/>
  <c r="F92" i="65" s="1"/>
  <c r="F93" i="65" s="1"/>
  <c r="F94" i="65" s="1"/>
  <c r="F95" i="65" s="1"/>
  <c r="F96" i="65" s="1"/>
  <c r="F97" i="65" s="1"/>
  <c r="F98" i="65" s="1"/>
  <c r="F99" i="65" s="1"/>
  <c r="F100" i="65" s="1"/>
  <c r="F101" i="65" s="1"/>
  <c r="F102" i="65" s="1"/>
  <c r="F103" i="65" s="1"/>
  <c r="F104" i="65" s="1"/>
  <c r="F105" i="65" s="1"/>
  <c r="F106" i="65" s="1"/>
  <c r="AH106" i="65" s="1"/>
  <c r="N114" i="65"/>
  <c r="N96" i="65"/>
  <c r="N97" i="65" s="1"/>
  <c r="N98" i="65" s="1"/>
  <c r="N99" i="65" s="1"/>
  <c r="N100" i="65" s="1"/>
  <c r="N101" i="65" s="1"/>
  <c r="N102" i="65" s="1"/>
  <c r="N103" i="65" s="1"/>
  <c r="N104" i="65" s="1"/>
  <c r="N105" i="65" s="1"/>
  <c r="N106" i="65" s="1"/>
  <c r="N107" i="65" s="1"/>
  <c r="N108" i="65" s="1"/>
  <c r="N109" i="65" s="1"/>
  <c r="N110" i="65" s="1"/>
  <c r="N111" i="65" s="1"/>
  <c r="N112" i="65" s="1"/>
  <c r="N113" i="65" s="1"/>
  <c r="R100" i="65"/>
  <c r="R101" i="65" s="1"/>
  <c r="R102" i="65" s="1"/>
  <c r="R103" i="65" s="1"/>
  <c r="R104" i="65" s="1"/>
  <c r="R105" i="65" s="1"/>
  <c r="R106" i="65" s="1"/>
  <c r="R107" i="65" s="1"/>
  <c r="R108" i="65" s="1"/>
  <c r="R109" i="65" s="1"/>
  <c r="R110" i="65" s="1"/>
  <c r="R111" i="65" s="1"/>
  <c r="R112" i="65" s="1"/>
  <c r="R113" i="65" s="1"/>
  <c r="R114" i="65"/>
  <c r="V114" i="65"/>
  <c r="V104" i="65"/>
  <c r="V105" i="65" s="1"/>
  <c r="V106" i="65" s="1"/>
  <c r="V107" i="65" s="1"/>
  <c r="V108" i="65" s="1"/>
  <c r="V109" i="65" s="1"/>
  <c r="V110" i="65" s="1"/>
  <c r="V111" i="65" s="1"/>
  <c r="V112" i="65" s="1"/>
  <c r="V113" i="65" s="1"/>
  <c r="Z114" i="65"/>
  <c r="Z108" i="65"/>
  <c r="Z109" i="65" s="1"/>
  <c r="Z110" i="65" s="1"/>
  <c r="Z111" i="65" s="1"/>
  <c r="Z112" i="65" s="1"/>
  <c r="Z113" i="65" s="1"/>
  <c r="AD114" i="65"/>
  <c r="AD112" i="65"/>
  <c r="AD113" i="65" s="1"/>
  <c r="F38" i="55"/>
  <c r="F42" i="55"/>
  <c r="E42" i="55" s="1"/>
  <c r="C42" i="55" s="1"/>
  <c r="F46" i="55"/>
  <c r="E46" i="55" s="1"/>
  <c r="C46" i="55" s="1"/>
  <c r="F50" i="55"/>
  <c r="E50" i="55" s="1"/>
  <c r="C50" i="55" s="1"/>
  <c r="F54" i="55"/>
  <c r="E54" i="55" s="1"/>
  <c r="C54" i="55" s="1"/>
  <c r="F58" i="55"/>
  <c r="E58" i="55" s="1"/>
  <c r="C58" i="55" s="1"/>
  <c r="F62" i="55"/>
  <c r="E62" i="55" s="1"/>
  <c r="C62" i="55" s="1"/>
  <c r="AE76" i="65"/>
  <c r="O114" i="65"/>
  <c r="O97" i="65"/>
  <c r="O98" i="65" s="1"/>
  <c r="O99" i="65" s="1"/>
  <c r="O100" i="65" s="1"/>
  <c r="O101" i="65" s="1"/>
  <c r="O102" i="65" s="1"/>
  <c r="O103" i="65" s="1"/>
  <c r="O104" i="65" s="1"/>
  <c r="O105" i="65" s="1"/>
  <c r="O106" i="65" s="1"/>
  <c r="O107" i="65" s="1"/>
  <c r="O108" i="65" s="1"/>
  <c r="O109" i="65" s="1"/>
  <c r="O110" i="65" s="1"/>
  <c r="O111" i="65" s="1"/>
  <c r="O112" i="65" s="1"/>
  <c r="O113" i="65" s="1"/>
  <c r="Z151" i="65"/>
  <c r="Z145" i="65"/>
  <c r="Z146" i="65" s="1"/>
  <c r="Z147" i="65" s="1"/>
  <c r="Z148" i="65" s="1"/>
  <c r="Z149" i="65" s="1"/>
  <c r="Z150" i="65" s="1"/>
  <c r="AD151" i="65"/>
  <c r="AD149" i="65"/>
  <c r="AD150" i="65" s="1"/>
  <c r="AA114" i="65"/>
  <c r="I128" i="65"/>
  <c r="I129" i="65" s="1"/>
  <c r="I130" i="65" s="1"/>
  <c r="I131" i="65" s="1"/>
  <c r="I132" i="65" s="1"/>
  <c r="I133" i="65" s="1"/>
  <c r="I134" i="65" s="1"/>
  <c r="I135" i="65" s="1"/>
  <c r="I136" i="65" s="1"/>
  <c r="I137" i="65" s="1"/>
  <c r="I138" i="65" s="1"/>
  <c r="I139" i="65" s="1"/>
  <c r="I140" i="65" s="1"/>
  <c r="I141" i="65" s="1"/>
  <c r="AH141" i="65" s="1"/>
  <c r="F151" i="65"/>
  <c r="D188" i="65"/>
  <c r="D160" i="65"/>
  <c r="AH159" i="65"/>
  <c r="AH188" i="65" s="1"/>
  <c r="L188" i="65"/>
  <c r="L168" i="65"/>
  <c r="L169" i="65" s="1"/>
  <c r="L170" i="65" s="1"/>
  <c r="L171" i="65" s="1"/>
  <c r="L172" i="65" s="1"/>
  <c r="L173" i="65" s="1"/>
  <c r="L174" i="65" s="1"/>
  <c r="L175" i="65" s="1"/>
  <c r="L176" i="65" s="1"/>
  <c r="L177" i="65" s="1"/>
  <c r="L178" i="65" s="1"/>
  <c r="AH178" i="65" s="1"/>
  <c r="G188" i="65"/>
  <c r="G163" i="65"/>
  <c r="G164" i="65" s="1"/>
  <c r="G165" i="65" s="1"/>
  <c r="G166" i="65" s="1"/>
  <c r="G167" i="65" s="1"/>
  <c r="G168" i="65" s="1"/>
  <c r="G169" i="65" s="1"/>
  <c r="G170" i="65" s="1"/>
  <c r="G171" i="65" s="1"/>
  <c r="G172" i="65" s="1"/>
  <c r="G173" i="65" s="1"/>
  <c r="AH173" i="65" s="1"/>
  <c r="H164" i="65"/>
  <c r="H165" i="65" s="1"/>
  <c r="H166" i="65" s="1"/>
  <c r="H167" i="65" s="1"/>
  <c r="H168" i="65" s="1"/>
  <c r="H169" i="65" s="1"/>
  <c r="H170" i="65" s="1"/>
  <c r="H171" i="65" s="1"/>
  <c r="H172" i="65" s="1"/>
  <c r="H173" i="65" s="1"/>
  <c r="H174" i="65" s="1"/>
  <c r="AH174" i="65" s="1"/>
  <c r="G89" i="65"/>
  <c r="G90" i="65" s="1"/>
  <c r="G91" i="65" s="1"/>
  <c r="G92" i="65" s="1"/>
  <c r="G93" i="65" s="1"/>
  <c r="G94" i="65" s="1"/>
  <c r="G95" i="65" s="1"/>
  <c r="G96" i="65" s="1"/>
  <c r="G97" i="65" s="1"/>
  <c r="G98" i="65" s="1"/>
  <c r="G99" i="65" s="1"/>
  <c r="G100" i="65" s="1"/>
  <c r="G101" i="65" s="1"/>
  <c r="G102" i="65" s="1"/>
  <c r="G103" i="65" s="1"/>
  <c r="G104" i="65" s="1"/>
  <c r="G105" i="65" s="1"/>
  <c r="G106" i="65" s="1"/>
  <c r="G107" i="65" s="1"/>
  <c r="AH107" i="65" s="1"/>
  <c r="M114" i="65"/>
  <c r="U114" i="65"/>
  <c r="R151" i="65"/>
  <c r="R137" i="65"/>
  <c r="R138" i="65" s="1"/>
  <c r="R139" i="65" s="1"/>
  <c r="R140" i="65" s="1"/>
  <c r="R141" i="65" s="1"/>
  <c r="R142" i="65" s="1"/>
  <c r="R143" i="65" s="1"/>
  <c r="R144" i="65" s="1"/>
  <c r="R145" i="65" s="1"/>
  <c r="R146" i="65" s="1"/>
  <c r="R147" i="65" s="1"/>
  <c r="R148" i="65" s="1"/>
  <c r="R149" i="65" s="1"/>
  <c r="R150" i="65" s="1"/>
  <c r="AH150" i="65" s="1"/>
  <c r="AH118" i="65"/>
  <c r="B118" i="65" s="1"/>
  <c r="N151" i="65"/>
  <c r="G151" i="65"/>
  <c r="G126" i="65"/>
  <c r="G127" i="65" s="1"/>
  <c r="G128" i="65" s="1"/>
  <c r="G129" i="65" s="1"/>
  <c r="G130" i="65" s="1"/>
  <c r="G131" i="65" s="1"/>
  <c r="G132" i="65" s="1"/>
  <c r="G133" i="65" s="1"/>
  <c r="G134" i="65" s="1"/>
  <c r="G135" i="65" s="1"/>
  <c r="G136" i="65" s="1"/>
  <c r="G137" i="65" s="1"/>
  <c r="G138" i="65" s="1"/>
  <c r="G139" i="65" s="1"/>
  <c r="AH139" i="65" s="1"/>
  <c r="O151" i="65"/>
  <c r="O134" i="65"/>
  <c r="O135" i="65" s="1"/>
  <c r="O136" i="65" s="1"/>
  <c r="O137" i="65" s="1"/>
  <c r="O138" i="65" s="1"/>
  <c r="O139" i="65" s="1"/>
  <c r="O140" i="65" s="1"/>
  <c r="O141" i="65" s="1"/>
  <c r="O142" i="65" s="1"/>
  <c r="O143" i="65" s="1"/>
  <c r="O144" i="65" s="1"/>
  <c r="O145" i="65" s="1"/>
  <c r="O146" i="65" s="1"/>
  <c r="O147" i="65" s="1"/>
  <c r="AH147" i="65" s="1"/>
  <c r="J129" i="65"/>
  <c r="J130" i="65" s="1"/>
  <c r="J131" i="65" s="1"/>
  <c r="J132" i="65" s="1"/>
  <c r="J133" i="65" s="1"/>
  <c r="J134" i="65" s="1"/>
  <c r="J135" i="65" s="1"/>
  <c r="J136" i="65" s="1"/>
  <c r="J137" i="65" s="1"/>
  <c r="J138" i="65" s="1"/>
  <c r="J139" i="65" s="1"/>
  <c r="J140" i="65" s="1"/>
  <c r="J141" i="65" s="1"/>
  <c r="J142" i="65" s="1"/>
  <c r="AH142" i="65" s="1"/>
  <c r="L151" i="65"/>
  <c r="L131" i="65"/>
  <c r="L132" i="65" s="1"/>
  <c r="L133" i="65" s="1"/>
  <c r="L134" i="65" s="1"/>
  <c r="L135" i="65" s="1"/>
  <c r="L136" i="65" s="1"/>
  <c r="L137" i="65" s="1"/>
  <c r="L138" i="65" s="1"/>
  <c r="L139" i="65" s="1"/>
  <c r="L140" i="65" s="1"/>
  <c r="L141" i="65" s="1"/>
  <c r="L142" i="65" s="1"/>
  <c r="L143" i="65" s="1"/>
  <c r="L144" i="65" s="1"/>
  <c r="AH144" i="65" s="1"/>
  <c r="V151" i="65"/>
  <c r="I114" i="65"/>
  <c r="Q114" i="65"/>
  <c r="Y114" i="65"/>
  <c r="T139" i="65"/>
  <c r="T140" i="65" s="1"/>
  <c r="T141" i="65" s="1"/>
  <c r="T142" i="65" s="1"/>
  <c r="T143" i="65" s="1"/>
  <c r="T144" i="65" s="1"/>
  <c r="T145" i="65" s="1"/>
  <c r="T146" i="65" s="1"/>
  <c r="T147" i="65" s="1"/>
  <c r="T148" i="65" s="1"/>
  <c r="T149" i="65" s="1"/>
  <c r="T150" i="65" s="1"/>
  <c r="T151" i="65"/>
  <c r="X143" i="65"/>
  <c r="X144" i="65" s="1"/>
  <c r="X145" i="65" s="1"/>
  <c r="X146" i="65" s="1"/>
  <c r="X147" i="65" s="1"/>
  <c r="X148" i="65" s="1"/>
  <c r="X149" i="65" s="1"/>
  <c r="X150" i="65" s="1"/>
  <c r="X151" i="65"/>
  <c r="AB147" i="65"/>
  <c r="AB148" i="65" s="1"/>
  <c r="AB149" i="65" s="1"/>
  <c r="AB150" i="65" s="1"/>
  <c r="AB151" i="65"/>
  <c r="E124" i="65"/>
  <c r="E125" i="65" s="1"/>
  <c r="E126" i="65" s="1"/>
  <c r="E127" i="65" s="1"/>
  <c r="E128" i="65" s="1"/>
  <c r="E129" i="65" s="1"/>
  <c r="E130" i="65" s="1"/>
  <c r="E131" i="65" s="1"/>
  <c r="E132" i="65" s="1"/>
  <c r="E133" i="65" s="1"/>
  <c r="E134" i="65" s="1"/>
  <c r="E135" i="65" s="1"/>
  <c r="E136" i="65" s="1"/>
  <c r="E137" i="65" s="1"/>
  <c r="AH137" i="65" s="1"/>
  <c r="Q136" i="65"/>
  <c r="Q137" i="65" s="1"/>
  <c r="Q138" i="65" s="1"/>
  <c r="Q139" i="65" s="1"/>
  <c r="Q140" i="65" s="1"/>
  <c r="Q141" i="65" s="1"/>
  <c r="Q142" i="65" s="1"/>
  <c r="Q143" i="65" s="1"/>
  <c r="Q144" i="65" s="1"/>
  <c r="Q145" i="65" s="1"/>
  <c r="Q146" i="65" s="1"/>
  <c r="Q147" i="65" s="1"/>
  <c r="Q148" i="65" s="1"/>
  <c r="Q149" i="65" s="1"/>
  <c r="AH149" i="65" s="1"/>
  <c r="K167" i="65"/>
  <c r="K168" i="65" s="1"/>
  <c r="K169" i="65" s="1"/>
  <c r="K170" i="65" s="1"/>
  <c r="K171" i="65" s="1"/>
  <c r="K172" i="65" s="1"/>
  <c r="K173" i="65" s="1"/>
  <c r="K174" i="65" s="1"/>
  <c r="K175" i="65" s="1"/>
  <c r="K176" i="65" s="1"/>
  <c r="K177" i="65" s="1"/>
  <c r="AH177" i="65" s="1"/>
  <c r="Q188" i="65"/>
  <c r="Q173" i="65"/>
  <c r="Q174" i="65" s="1"/>
  <c r="Q175" i="65" s="1"/>
  <c r="Q176" i="65" s="1"/>
  <c r="Q177" i="65" s="1"/>
  <c r="Q178" i="65" s="1"/>
  <c r="Q179" i="65" s="1"/>
  <c r="Q180" i="65" s="1"/>
  <c r="Q181" i="65" s="1"/>
  <c r="Q182" i="65" s="1"/>
  <c r="Q183" i="65" s="1"/>
  <c r="AH183" i="65" s="1"/>
  <c r="W151" i="65"/>
  <c r="W142" i="65"/>
  <c r="W143" i="65" s="1"/>
  <c r="W144" i="65" s="1"/>
  <c r="W145" i="65" s="1"/>
  <c r="W146" i="65" s="1"/>
  <c r="W147" i="65" s="1"/>
  <c r="W148" i="65" s="1"/>
  <c r="W149" i="65" s="1"/>
  <c r="W150" i="65" s="1"/>
  <c r="AA151" i="65"/>
  <c r="AA146" i="65"/>
  <c r="AA147" i="65" s="1"/>
  <c r="AA148" i="65" s="1"/>
  <c r="AA149" i="65" s="1"/>
  <c r="AA150" i="65" s="1"/>
  <c r="AE151" i="65"/>
  <c r="AE150" i="65"/>
  <c r="K130" i="65"/>
  <c r="K131" i="65" s="1"/>
  <c r="K132" i="65" s="1"/>
  <c r="K133" i="65" s="1"/>
  <c r="K134" i="65" s="1"/>
  <c r="K135" i="65" s="1"/>
  <c r="K136" i="65" s="1"/>
  <c r="K137" i="65" s="1"/>
  <c r="K138" i="65" s="1"/>
  <c r="K139" i="65" s="1"/>
  <c r="K140" i="65" s="1"/>
  <c r="K141" i="65" s="1"/>
  <c r="K142" i="65" s="1"/>
  <c r="K143" i="65" s="1"/>
  <c r="AH143" i="65" s="1"/>
  <c r="N188" i="65"/>
  <c r="N170" i="65"/>
  <c r="N171" i="65" s="1"/>
  <c r="N172" i="65" s="1"/>
  <c r="N173" i="65" s="1"/>
  <c r="N174" i="65" s="1"/>
  <c r="N175" i="65" s="1"/>
  <c r="N176" i="65" s="1"/>
  <c r="N177" i="65" s="1"/>
  <c r="N178" i="65" s="1"/>
  <c r="N179" i="65" s="1"/>
  <c r="N180" i="65" s="1"/>
  <c r="AH180" i="65" s="1"/>
  <c r="N225" i="65"/>
  <c r="N207" i="65"/>
  <c r="N208" i="65" s="1"/>
  <c r="N209" i="65" s="1"/>
  <c r="N210" i="65" s="1"/>
  <c r="N211" i="65" s="1"/>
  <c r="N212" i="65" s="1"/>
  <c r="N213" i="65" s="1"/>
  <c r="N214" i="65" s="1"/>
  <c r="N215" i="65" s="1"/>
  <c r="AH215" i="65" s="1"/>
  <c r="R225" i="65"/>
  <c r="R211" i="65"/>
  <c r="R212" i="65" s="1"/>
  <c r="R213" i="65" s="1"/>
  <c r="R214" i="65" s="1"/>
  <c r="R215" i="65" s="1"/>
  <c r="R216" i="65" s="1"/>
  <c r="R217" i="65" s="1"/>
  <c r="R218" i="65" s="1"/>
  <c r="R219" i="65" s="1"/>
  <c r="AH219" i="65" s="1"/>
  <c r="V225" i="65"/>
  <c r="V215" i="65"/>
  <c r="V216" i="65" s="1"/>
  <c r="V217" i="65" s="1"/>
  <c r="V218" i="65" s="1"/>
  <c r="V219" i="65" s="1"/>
  <c r="V220" i="65" s="1"/>
  <c r="V221" i="65" s="1"/>
  <c r="V222" i="65" s="1"/>
  <c r="V223" i="65" s="1"/>
  <c r="AH223" i="65" s="1"/>
  <c r="Z225" i="65"/>
  <c r="Z219" i="65"/>
  <c r="Z220" i="65" s="1"/>
  <c r="Z221" i="65" s="1"/>
  <c r="Z222" i="65" s="1"/>
  <c r="Z223" i="65" s="1"/>
  <c r="Z224" i="65" s="1"/>
  <c r="T225" i="65"/>
  <c r="G261" i="65"/>
  <c r="G236" i="65"/>
  <c r="G237" i="65" s="1"/>
  <c r="G238" i="65" s="1"/>
  <c r="G239" i="65" s="1"/>
  <c r="G240" i="65" s="1"/>
  <c r="G241" i="65" s="1"/>
  <c r="AH241" i="65" s="1"/>
  <c r="J239" i="65"/>
  <c r="J240" i="65" s="1"/>
  <c r="J241" i="65" s="1"/>
  <c r="J242" i="65" s="1"/>
  <c r="J243" i="65" s="1"/>
  <c r="J244" i="65" s="1"/>
  <c r="AH244" i="65" s="1"/>
  <c r="J203" i="65"/>
  <c r="J204" i="65" s="1"/>
  <c r="J205" i="65" s="1"/>
  <c r="J206" i="65" s="1"/>
  <c r="J207" i="65" s="1"/>
  <c r="J208" i="65" s="1"/>
  <c r="J209" i="65" s="1"/>
  <c r="J210" i="65" s="1"/>
  <c r="J211" i="65" s="1"/>
  <c r="AH211" i="65" s="1"/>
  <c r="J225" i="65"/>
  <c r="Y144" i="65"/>
  <c r="Y145" i="65" s="1"/>
  <c r="Y146" i="65" s="1"/>
  <c r="Y147" i="65" s="1"/>
  <c r="Y148" i="65" s="1"/>
  <c r="Y149" i="65" s="1"/>
  <c r="Y150" i="65" s="1"/>
  <c r="Y151" i="65"/>
  <c r="AC148" i="65"/>
  <c r="AC149" i="65" s="1"/>
  <c r="AC150" i="65" s="1"/>
  <c r="AC151" i="65"/>
  <c r="E188" i="65"/>
  <c r="E161" i="65"/>
  <c r="E162" i="65" s="1"/>
  <c r="E163" i="65" s="1"/>
  <c r="E164" i="65" s="1"/>
  <c r="E165" i="65" s="1"/>
  <c r="E166" i="65" s="1"/>
  <c r="E167" i="65" s="1"/>
  <c r="E168" i="65" s="1"/>
  <c r="E169" i="65" s="1"/>
  <c r="E170" i="65" s="1"/>
  <c r="E171" i="65" s="1"/>
  <c r="AH171" i="65" s="1"/>
  <c r="I188" i="65"/>
  <c r="I165" i="65"/>
  <c r="I166" i="65" s="1"/>
  <c r="I167" i="65" s="1"/>
  <c r="I168" i="65" s="1"/>
  <c r="I169" i="65" s="1"/>
  <c r="I170" i="65" s="1"/>
  <c r="I171" i="65" s="1"/>
  <c r="I172" i="65" s="1"/>
  <c r="I173" i="65" s="1"/>
  <c r="I174" i="65" s="1"/>
  <c r="I175" i="65" s="1"/>
  <c r="AH175" i="65" s="1"/>
  <c r="M188" i="65"/>
  <c r="M169" i="65"/>
  <c r="M170" i="65" s="1"/>
  <c r="M171" i="65" s="1"/>
  <c r="M172" i="65" s="1"/>
  <c r="M173" i="65" s="1"/>
  <c r="M174" i="65" s="1"/>
  <c r="M175" i="65" s="1"/>
  <c r="M176" i="65" s="1"/>
  <c r="M177" i="65" s="1"/>
  <c r="M178" i="65" s="1"/>
  <c r="M179" i="65" s="1"/>
  <c r="AH179" i="65" s="1"/>
  <c r="F188" i="65"/>
  <c r="F162" i="65"/>
  <c r="F163" i="65" s="1"/>
  <c r="F164" i="65" s="1"/>
  <c r="F165" i="65" s="1"/>
  <c r="F166" i="65" s="1"/>
  <c r="F167" i="65" s="1"/>
  <c r="F168" i="65" s="1"/>
  <c r="F169" i="65" s="1"/>
  <c r="F170" i="65" s="1"/>
  <c r="F171" i="65" s="1"/>
  <c r="F172" i="65" s="1"/>
  <c r="AH172" i="65" s="1"/>
  <c r="U177" i="65"/>
  <c r="U178" i="65" s="1"/>
  <c r="U179" i="65" s="1"/>
  <c r="U180" i="65" s="1"/>
  <c r="U181" i="65" s="1"/>
  <c r="U182" i="65" s="1"/>
  <c r="U183" i="65" s="1"/>
  <c r="U184" i="65" s="1"/>
  <c r="U185" i="65" s="1"/>
  <c r="U186" i="65" s="1"/>
  <c r="U187" i="65" s="1"/>
  <c r="AH187" i="65" s="1"/>
  <c r="W179" i="65"/>
  <c r="W180" i="65" s="1"/>
  <c r="W181" i="65" s="1"/>
  <c r="W182" i="65" s="1"/>
  <c r="W183" i="65" s="1"/>
  <c r="W184" i="65" s="1"/>
  <c r="W185" i="65" s="1"/>
  <c r="W186" i="65" s="1"/>
  <c r="W187" i="65" s="1"/>
  <c r="Y181" i="65"/>
  <c r="Y182" i="65" s="1"/>
  <c r="Y183" i="65" s="1"/>
  <c r="Y184" i="65" s="1"/>
  <c r="Y185" i="65" s="1"/>
  <c r="Y186" i="65" s="1"/>
  <c r="Y187" i="65" s="1"/>
  <c r="AA183" i="65"/>
  <c r="AA184" i="65" s="1"/>
  <c r="AA185" i="65" s="1"/>
  <c r="AA186" i="65" s="1"/>
  <c r="AA187" i="65" s="1"/>
  <c r="AC185" i="65"/>
  <c r="AC186" i="65" s="1"/>
  <c r="AC187" i="65" s="1"/>
  <c r="AE187" i="65"/>
  <c r="P188" i="65"/>
  <c r="L225" i="65"/>
  <c r="AB225" i="65"/>
  <c r="H237" i="65"/>
  <c r="H238" i="65" s="1"/>
  <c r="H239" i="65" s="1"/>
  <c r="H240" i="65" s="1"/>
  <c r="H241" i="65" s="1"/>
  <c r="H242" i="65" s="1"/>
  <c r="AH242" i="65" s="1"/>
  <c r="M261" i="65"/>
  <c r="M242" i="65"/>
  <c r="M243" i="65" s="1"/>
  <c r="M244" i="65" s="1"/>
  <c r="M245" i="65" s="1"/>
  <c r="M246" i="65" s="1"/>
  <c r="M247" i="65" s="1"/>
  <c r="AH247" i="65" s="1"/>
  <c r="O261" i="65"/>
  <c r="O244" i="65"/>
  <c r="O245" i="65" s="1"/>
  <c r="O246" i="65" s="1"/>
  <c r="O247" i="65" s="1"/>
  <c r="O248" i="65" s="1"/>
  <c r="O249" i="65" s="1"/>
  <c r="AH249" i="65" s="1"/>
  <c r="Q261" i="65"/>
  <c r="Q246" i="65"/>
  <c r="Q247" i="65" s="1"/>
  <c r="Q248" i="65" s="1"/>
  <c r="Q249" i="65" s="1"/>
  <c r="Q250" i="65" s="1"/>
  <c r="Q251" i="65" s="1"/>
  <c r="AH251" i="65" s="1"/>
  <c r="S261" i="65"/>
  <c r="S248" i="65"/>
  <c r="S249" i="65" s="1"/>
  <c r="S250" i="65" s="1"/>
  <c r="S251" i="65" s="1"/>
  <c r="S252" i="65" s="1"/>
  <c r="S253" i="65" s="1"/>
  <c r="AH253" i="65" s="1"/>
  <c r="U261" i="65"/>
  <c r="U250" i="65"/>
  <c r="U251" i="65" s="1"/>
  <c r="U252" i="65" s="1"/>
  <c r="U253" i="65" s="1"/>
  <c r="U254" i="65" s="1"/>
  <c r="U255" i="65" s="1"/>
  <c r="AH255" i="65" s="1"/>
  <c r="W261" i="65"/>
  <c r="W252" i="65"/>
  <c r="W253" i="65" s="1"/>
  <c r="W254" i="65" s="1"/>
  <c r="W255" i="65" s="1"/>
  <c r="W256" i="65" s="1"/>
  <c r="W257" i="65" s="1"/>
  <c r="AH257" i="65" s="1"/>
  <c r="Y261" i="65"/>
  <c r="Y254" i="65"/>
  <c r="Y255" i="65" s="1"/>
  <c r="Y256" i="65" s="1"/>
  <c r="Y257" i="65" s="1"/>
  <c r="Y258" i="65" s="1"/>
  <c r="Y259" i="65" s="1"/>
  <c r="AH259" i="65" s="1"/>
  <c r="AA261" i="65"/>
  <c r="AA256" i="65"/>
  <c r="AA257" i="65" s="1"/>
  <c r="AA258" i="65" s="1"/>
  <c r="AA259" i="65" s="1"/>
  <c r="AA260" i="65" s="1"/>
  <c r="AC261" i="65"/>
  <c r="AC258" i="65"/>
  <c r="AC259" i="65" s="1"/>
  <c r="AC260" i="65" s="1"/>
  <c r="AE261" i="65"/>
  <c r="AE260" i="65"/>
  <c r="U140" i="65"/>
  <c r="U141" i="65" s="1"/>
  <c r="U142" i="65" s="1"/>
  <c r="U143" i="65" s="1"/>
  <c r="U144" i="65" s="1"/>
  <c r="U145" i="65" s="1"/>
  <c r="U146" i="65" s="1"/>
  <c r="U147" i="65" s="1"/>
  <c r="U148" i="65" s="1"/>
  <c r="U149" i="65" s="1"/>
  <c r="U150" i="65" s="1"/>
  <c r="J188" i="65"/>
  <c r="J166" i="65"/>
  <c r="J167" i="65" s="1"/>
  <c r="J168" i="65" s="1"/>
  <c r="J169" i="65" s="1"/>
  <c r="J170" i="65" s="1"/>
  <c r="J171" i="65" s="1"/>
  <c r="J172" i="65" s="1"/>
  <c r="J173" i="65" s="1"/>
  <c r="J174" i="65" s="1"/>
  <c r="J175" i="65" s="1"/>
  <c r="J176" i="65" s="1"/>
  <c r="AH176" i="65" s="1"/>
  <c r="O188" i="65"/>
  <c r="O171" i="65"/>
  <c r="O172" i="65" s="1"/>
  <c r="O173" i="65" s="1"/>
  <c r="O174" i="65" s="1"/>
  <c r="O175" i="65" s="1"/>
  <c r="O176" i="65" s="1"/>
  <c r="O177" i="65" s="1"/>
  <c r="O178" i="65" s="1"/>
  <c r="O179" i="65" s="1"/>
  <c r="O180" i="65" s="1"/>
  <c r="O181" i="65" s="1"/>
  <c r="AH181" i="65" s="1"/>
  <c r="G225" i="65"/>
  <c r="G200" i="65"/>
  <c r="G201" i="65" s="1"/>
  <c r="G202" i="65" s="1"/>
  <c r="G203" i="65" s="1"/>
  <c r="G204" i="65" s="1"/>
  <c r="G205" i="65" s="1"/>
  <c r="G206" i="65" s="1"/>
  <c r="G207" i="65" s="1"/>
  <c r="G208" i="65" s="1"/>
  <c r="AH208" i="65" s="1"/>
  <c r="K204" i="65"/>
  <c r="K205" i="65" s="1"/>
  <c r="K206" i="65" s="1"/>
  <c r="K207" i="65" s="1"/>
  <c r="K208" i="65" s="1"/>
  <c r="K209" i="65" s="1"/>
  <c r="K210" i="65" s="1"/>
  <c r="K211" i="65" s="1"/>
  <c r="K212" i="65" s="1"/>
  <c r="AH212" i="65" s="1"/>
  <c r="D233" i="65"/>
  <c r="AH232" i="65"/>
  <c r="AH261" i="65" s="1"/>
  <c r="AH308" i="65"/>
  <c r="AH337" i="65" s="1"/>
  <c r="D309" i="65"/>
  <c r="D337" i="65"/>
  <c r="AH155" i="65"/>
  <c r="B155" i="65" s="1"/>
  <c r="E225" i="65"/>
  <c r="E198" i="65"/>
  <c r="E199" i="65" s="1"/>
  <c r="E200" i="65" s="1"/>
  <c r="E201" i="65" s="1"/>
  <c r="E202" i="65" s="1"/>
  <c r="E203" i="65" s="1"/>
  <c r="E204" i="65" s="1"/>
  <c r="E205" i="65" s="1"/>
  <c r="E206" i="65" s="1"/>
  <c r="AH206" i="65" s="1"/>
  <c r="I202" i="65"/>
  <c r="I203" i="65" s="1"/>
  <c r="I204" i="65" s="1"/>
  <c r="I205" i="65" s="1"/>
  <c r="I206" i="65" s="1"/>
  <c r="I207" i="65" s="1"/>
  <c r="I208" i="65" s="1"/>
  <c r="I209" i="65" s="1"/>
  <c r="I210" i="65" s="1"/>
  <c r="AH210" i="65" s="1"/>
  <c r="I225" i="65"/>
  <c r="K261" i="65"/>
  <c r="K240" i="65"/>
  <c r="K241" i="65" s="1"/>
  <c r="K242" i="65" s="1"/>
  <c r="K243" i="65" s="1"/>
  <c r="K244" i="65" s="1"/>
  <c r="K245" i="65" s="1"/>
  <c r="AH245" i="65" s="1"/>
  <c r="D299" i="65"/>
  <c r="AH270" i="65"/>
  <c r="AH299" i="65" s="1"/>
  <c r="D271" i="65"/>
  <c r="F273" i="65"/>
  <c r="F274" i="65" s="1"/>
  <c r="F275" i="65" s="1"/>
  <c r="F276" i="65" s="1"/>
  <c r="AH276" i="65" s="1"/>
  <c r="F225" i="65"/>
  <c r="E261" i="65"/>
  <c r="E234" i="65"/>
  <c r="E235" i="65" s="1"/>
  <c r="E236" i="65" s="1"/>
  <c r="E237" i="65" s="1"/>
  <c r="E238" i="65" s="1"/>
  <c r="E239" i="65" s="1"/>
  <c r="AH239" i="65" s="1"/>
  <c r="I261" i="65"/>
  <c r="I238" i="65"/>
  <c r="I239" i="65" s="1"/>
  <c r="I240" i="65" s="1"/>
  <c r="I241" i="65" s="1"/>
  <c r="I242" i="65" s="1"/>
  <c r="I243" i="65" s="1"/>
  <c r="AH243" i="65" s="1"/>
  <c r="F261" i="65"/>
  <c r="F235" i="65"/>
  <c r="F236" i="65" s="1"/>
  <c r="F237" i="65" s="1"/>
  <c r="F238" i="65" s="1"/>
  <c r="F239" i="65" s="1"/>
  <c r="F240" i="65" s="1"/>
  <c r="AH240" i="65" s="1"/>
  <c r="D196" i="65"/>
  <c r="AD222" i="65"/>
  <c r="AH228" i="65"/>
  <c r="B228" i="65" s="1"/>
  <c r="N261" i="65"/>
  <c r="V261" i="65"/>
  <c r="AD261" i="65"/>
  <c r="I276" i="65"/>
  <c r="I277" i="65" s="1"/>
  <c r="I278" i="65" s="1"/>
  <c r="I279" i="65" s="1"/>
  <c r="AH279" i="65" s="1"/>
  <c r="I299" i="65"/>
  <c r="M280" i="65"/>
  <c r="M281" i="65" s="1"/>
  <c r="M282" i="65" s="1"/>
  <c r="M283" i="65" s="1"/>
  <c r="AH283" i="65" s="1"/>
  <c r="M299" i="65"/>
  <c r="Q284" i="65"/>
  <c r="Q285" i="65" s="1"/>
  <c r="Q286" i="65" s="1"/>
  <c r="Q287" i="65" s="1"/>
  <c r="AH287" i="65" s="1"/>
  <c r="Q299" i="65"/>
  <c r="U288" i="65"/>
  <c r="U289" i="65" s="1"/>
  <c r="U290" i="65" s="1"/>
  <c r="U291" i="65" s="1"/>
  <c r="AH291" i="65" s="1"/>
  <c r="U299" i="65"/>
  <c r="Y292" i="65"/>
  <c r="Y293" i="65" s="1"/>
  <c r="Y294" i="65" s="1"/>
  <c r="Y295" i="65" s="1"/>
  <c r="AH295" i="65" s="1"/>
  <c r="Y299" i="65"/>
  <c r="AC296" i="65"/>
  <c r="AC297" i="65" s="1"/>
  <c r="AC298" i="65" s="1"/>
  <c r="AC299" i="65"/>
  <c r="S299" i="65"/>
  <c r="R261" i="65"/>
  <c r="Z261" i="65"/>
  <c r="K299" i="65"/>
  <c r="AA299" i="65"/>
  <c r="AH266" i="65"/>
  <c r="B266" i="65" s="1"/>
  <c r="AH304" i="65"/>
  <c r="B304" i="65" s="1"/>
  <c r="G312" i="65"/>
  <c r="G313" i="65" s="1"/>
  <c r="AH313" i="65" s="1"/>
  <c r="K316" i="65"/>
  <c r="K317" i="65" s="1"/>
  <c r="AH317" i="65" s="1"/>
  <c r="O320" i="65"/>
  <c r="O321" i="65" s="1"/>
  <c r="AH321" i="65" s="1"/>
  <c r="S324" i="65"/>
  <c r="S325" i="65" s="1"/>
  <c r="AH325" i="65" s="1"/>
  <c r="W328" i="65"/>
  <c r="W329" i="65" s="1"/>
  <c r="AH329" i="65" s="1"/>
  <c r="AA332" i="65"/>
  <c r="AA333" i="65" s="1"/>
  <c r="AH333" i="65" s="1"/>
  <c r="AE336" i="65"/>
  <c r="H337" i="65"/>
  <c r="P337" i="65"/>
  <c r="X337" i="65"/>
  <c r="L337" i="65"/>
  <c r="T337" i="65"/>
  <c r="AB337" i="65"/>
  <c r="T18" i="57" l="1"/>
  <c r="T13" i="57"/>
  <c r="W35" i="57"/>
  <c r="W34" i="57"/>
  <c r="W32" i="57"/>
  <c r="W11" i="57"/>
  <c r="T11" i="57"/>
  <c r="U11" i="57" s="1"/>
  <c r="W17" i="57"/>
  <c r="U17" i="57"/>
  <c r="W15" i="57"/>
  <c r="W13" i="57"/>
  <c r="U13" i="57"/>
  <c r="E13" i="58" s="1"/>
  <c r="W12" i="57"/>
  <c r="T12" i="57"/>
  <c r="W36" i="57"/>
  <c r="W33" i="57"/>
  <c r="AB6" i="57"/>
  <c r="W31" i="57"/>
  <c r="U31" i="57"/>
  <c r="W29" i="57"/>
  <c r="W27" i="57"/>
  <c r="W26" i="57"/>
  <c r="U26" i="57"/>
  <c r="E24" i="58" s="1"/>
  <c r="W28" i="57"/>
  <c r="U28" i="57"/>
  <c r="W25" i="57"/>
  <c r="U25" i="57"/>
  <c r="W24" i="57"/>
  <c r="W30" i="57"/>
  <c r="W23" i="57"/>
  <c r="U23" i="57"/>
  <c r="E21" i="58" s="1"/>
  <c r="W22" i="57"/>
  <c r="W10" i="57"/>
  <c r="T10" i="57"/>
  <c r="U10" i="57" s="1"/>
  <c r="W21" i="57"/>
  <c r="W20" i="57"/>
  <c r="X20" i="57" s="1"/>
  <c r="P6" i="82" s="1"/>
  <c r="U20" i="57"/>
  <c r="W19" i="57"/>
  <c r="W18" i="57"/>
  <c r="U18" i="57"/>
  <c r="N25" i="57"/>
  <c r="X25" i="57" s="1"/>
  <c r="U6" i="82" s="1"/>
  <c r="N23" i="57"/>
  <c r="AD23" i="57" s="1"/>
  <c r="D20" i="82"/>
  <c r="D16" i="82" s="1"/>
  <c r="D22" i="82" s="1"/>
  <c r="Z16" i="82"/>
  <c r="N16" i="82"/>
  <c r="AA15" i="47"/>
  <c r="AA23" i="47"/>
  <c r="C16" i="82"/>
  <c r="AA19" i="47"/>
  <c r="L16" i="82"/>
  <c r="E16" i="82"/>
  <c r="E22" i="82" s="1"/>
  <c r="F16" i="82"/>
  <c r="F22" i="82" s="1"/>
  <c r="AA33" i="47"/>
  <c r="W16" i="82"/>
  <c r="U16" i="82"/>
  <c r="V16" i="82"/>
  <c r="S16" i="82"/>
  <c r="T16" i="82"/>
  <c r="H16" i="82"/>
  <c r="Q16" i="82"/>
  <c r="AA24" i="47"/>
  <c r="X16" i="82"/>
  <c r="Y16" i="82"/>
  <c r="O16" i="82"/>
  <c r="D31" i="60"/>
  <c r="AC17" i="82" s="1"/>
  <c r="AC16" i="82" s="1"/>
  <c r="AD16" i="82"/>
  <c r="R16" i="82"/>
  <c r="AA26" i="47"/>
  <c r="I16" i="82"/>
  <c r="AB16" i="82"/>
  <c r="P16" i="82"/>
  <c r="K16" i="82"/>
  <c r="AA25" i="47"/>
  <c r="C13" i="82"/>
  <c r="AG15" i="82"/>
  <c r="G16" i="82"/>
  <c r="N11" i="57"/>
  <c r="AD11" i="57" s="1"/>
  <c r="AA17" i="47"/>
  <c r="N26" i="57"/>
  <c r="AD26" i="57" s="1"/>
  <c r="AA6" i="47"/>
  <c r="AA22" i="47"/>
  <c r="J4" i="32"/>
  <c r="AA4" i="47"/>
  <c r="N18" i="57"/>
  <c r="AD18" i="57" s="1"/>
  <c r="F16" i="53"/>
  <c r="G18" i="42"/>
  <c r="I17" i="52" s="1"/>
  <c r="E17" i="52" s="1"/>
  <c r="F17" i="52" s="1"/>
  <c r="J8" i="32"/>
  <c r="G15" i="42"/>
  <c r="I14" i="52" s="1"/>
  <c r="E14" i="52" s="1"/>
  <c r="F14" i="52" s="1"/>
  <c r="E18" i="29"/>
  <c r="C19" i="60" s="1"/>
  <c r="D15" i="60"/>
  <c r="M17" i="82" s="1"/>
  <c r="K17" i="54"/>
  <c r="E17" i="54" s="1"/>
  <c r="F17" i="54" s="1"/>
  <c r="H34" i="42"/>
  <c r="K8" i="54"/>
  <c r="E8" i="54" s="1"/>
  <c r="F8" i="54" s="1"/>
  <c r="G30" i="42"/>
  <c r="I29" i="52" s="1"/>
  <c r="E29" i="52" s="1"/>
  <c r="F29" i="52" s="1"/>
  <c r="AA29" i="47"/>
  <c r="F21" i="53"/>
  <c r="AA10" i="47"/>
  <c r="AB8" i="57"/>
  <c r="C14" i="53"/>
  <c r="G14" i="53" s="1"/>
  <c r="H30" i="42"/>
  <c r="K7" i="55"/>
  <c r="E7" i="55" s="1"/>
  <c r="F7" i="55" s="1"/>
  <c r="AA27" i="47"/>
  <c r="F13" i="53"/>
  <c r="N6" i="57"/>
  <c r="AA9" i="47"/>
  <c r="AA18" i="47"/>
  <c r="J7" i="32"/>
  <c r="F11" i="53"/>
  <c r="G11" i="53" s="1"/>
  <c r="G34" i="42"/>
  <c r="I33" i="52" s="1"/>
  <c r="E33" i="52" s="1"/>
  <c r="F33" i="52" s="1"/>
  <c r="C7" i="53"/>
  <c r="E7" i="53" s="1"/>
  <c r="F9" i="53"/>
  <c r="J6" i="32"/>
  <c r="N8" i="57"/>
  <c r="AA21" i="47"/>
  <c r="AA16" i="47"/>
  <c r="F8" i="53"/>
  <c r="N7" i="57"/>
  <c r="AD7" i="57" s="1"/>
  <c r="H22" i="42"/>
  <c r="H26" i="42"/>
  <c r="J12" i="32"/>
  <c r="J10" i="32"/>
  <c r="C9" i="53"/>
  <c r="E9" i="53" s="1"/>
  <c r="K6" i="55"/>
  <c r="E6" i="55" s="1"/>
  <c r="F6" i="55" s="1"/>
  <c r="K4" i="54"/>
  <c r="E4" i="54" s="1"/>
  <c r="F4" i="54" s="1"/>
  <c r="J16" i="32"/>
  <c r="AA28" i="47"/>
  <c r="AA20" i="47"/>
  <c r="AA12" i="47"/>
  <c r="AA5" i="47"/>
  <c r="F12" i="53"/>
  <c r="F10" i="53"/>
  <c r="G10" i="53" s="1"/>
  <c r="F24" i="53"/>
  <c r="F15" i="53"/>
  <c r="N17" i="57"/>
  <c r="N10" i="57"/>
  <c r="AD10" i="57" s="1"/>
  <c r="N12" i="57"/>
  <c r="AD12" i="57" s="1"/>
  <c r="T5" i="57"/>
  <c r="U5" i="57" s="1"/>
  <c r="Y36" i="47"/>
  <c r="W37" i="47" s="1"/>
  <c r="D29" i="83" s="1"/>
  <c r="F29" i="83" s="1"/>
  <c r="T7" i="57"/>
  <c r="U7" i="57" s="1"/>
  <c r="T9" i="57"/>
  <c r="U9" i="57" s="1"/>
  <c r="AB5" i="57"/>
  <c r="AA3" i="57"/>
  <c r="N31" i="57"/>
  <c r="AD31" i="57" s="1"/>
  <c r="N9" i="57"/>
  <c r="X9" i="57" s="1"/>
  <c r="F9" i="58" s="1"/>
  <c r="P34" i="27"/>
  <c r="Q35" i="27" s="1"/>
  <c r="F39" i="27"/>
  <c r="C18" i="53"/>
  <c r="G18" i="53" s="1"/>
  <c r="AB9" i="57"/>
  <c r="J17" i="32"/>
  <c r="N5" i="57"/>
  <c r="AD5" i="57" s="1"/>
  <c r="I22" i="42"/>
  <c r="C12" i="53"/>
  <c r="E12" i="53" s="1"/>
  <c r="J9" i="32"/>
  <c r="C8" i="53"/>
  <c r="E8" i="53" s="1"/>
  <c r="C6" i="53"/>
  <c r="E6" i="53" s="1"/>
  <c r="H15" i="42"/>
  <c r="G11" i="42"/>
  <c r="I10" i="52" s="1"/>
  <c r="E10" i="52" s="1"/>
  <c r="F10" i="52" s="1"/>
  <c r="F26" i="53"/>
  <c r="N28" i="57"/>
  <c r="AD28" i="57" s="1"/>
  <c r="J7" i="29"/>
  <c r="J8" i="60"/>
  <c r="F10" i="65"/>
  <c r="G8" i="65"/>
  <c r="F9" i="65"/>
  <c r="L36" i="57"/>
  <c r="F34" i="53"/>
  <c r="L33" i="57"/>
  <c r="F31" i="53"/>
  <c r="E45" i="54"/>
  <c r="C45" i="54" s="1"/>
  <c r="D46" i="54"/>
  <c r="F10" i="29"/>
  <c r="Q10" i="29" s="1"/>
  <c r="I9" i="29"/>
  <c r="H9" i="29"/>
  <c r="L35" i="57"/>
  <c r="F33" i="53"/>
  <c r="L29" i="57"/>
  <c r="F27" i="53"/>
  <c r="L27" i="57"/>
  <c r="F25" i="53"/>
  <c r="L24" i="57"/>
  <c r="F22" i="53"/>
  <c r="L22" i="57"/>
  <c r="F20" i="53"/>
  <c r="L15" i="57"/>
  <c r="T15" i="57" s="1"/>
  <c r="F14" i="53"/>
  <c r="M13" i="57"/>
  <c r="N13" i="57" s="1"/>
  <c r="AD13" i="57" s="1"/>
  <c r="I12" i="21"/>
  <c r="F12" i="21"/>
  <c r="G19" i="19"/>
  <c r="C18" i="19"/>
  <c r="C20" i="29"/>
  <c r="O20" i="29" s="1"/>
  <c r="R20" i="29" s="1"/>
  <c r="E19" i="29"/>
  <c r="L34" i="57"/>
  <c r="F32" i="53"/>
  <c r="D50" i="32"/>
  <c r="E49" i="32"/>
  <c r="C49" i="32" s="1"/>
  <c r="W6" i="27"/>
  <c r="Y6" i="27" s="1"/>
  <c r="AA6" i="27" s="1"/>
  <c r="X7" i="27" s="1"/>
  <c r="L32" i="57"/>
  <c r="F30" i="53"/>
  <c r="L30" i="57"/>
  <c r="F28" i="53"/>
  <c r="L21" i="57"/>
  <c r="F19" i="53"/>
  <c r="L19" i="57"/>
  <c r="F17" i="53"/>
  <c r="G17" i="53" s="1"/>
  <c r="J14" i="32"/>
  <c r="K14" i="54"/>
  <c r="E14" i="54" s="1"/>
  <c r="F14" i="54" s="1"/>
  <c r="K14" i="55"/>
  <c r="E14" i="55" s="1"/>
  <c r="F14" i="55" s="1"/>
  <c r="C15" i="53"/>
  <c r="I13" i="21"/>
  <c r="J5" i="60"/>
  <c r="J9" i="60"/>
  <c r="J6" i="60"/>
  <c r="J7" i="60"/>
  <c r="I35" i="60"/>
  <c r="F35" i="60"/>
  <c r="H8" i="42"/>
  <c r="G8" i="42"/>
  <c r="I8" i="42"/>
  <c r="H27" i="42"/>
  <c r="G27" i="42"/>
  <c r="I26" i="52" s="1"/>
  <c r="E26" i="52" s="1"/>
  <c r="F26" i="52" s="1"/>
  <c r="I27" i="42"/>
  <c r="H19" i="42"/>
  <c r="G19" i="42"/>
  <c r="I18" i="52" s="1"/>
  <c r="E18" i="52" s="1"/>
  <c r="F18" i="52" s="1"/>
  <c r="I19" i="42"/>
  <c r="G5" i="53"/>
  <c r="E5" i="53"/>
  <c r="G32" i="42"/>
  <c r="I31" i="52" s="1"/>
  <c r="E31" i="52" s="1"/>
  <c r="F31" i="52" s="1"/>
  <c r="I32" i="42"/>
  <c r="H32" i="42"/>
  <c r="AD25" i="57"/>
  <c r="H33" i="42"/>
  <c r="I33" i="42"/>
  <c r="G33" i="42"/>
  <c r="I32" i="52" s="1"/>
  <c r="E32" i="52" s="1"/>
  <c r="F32" i="52" s="1"/>
  <c r="H29" i="42"/>
  <c r="I29" i="42"/>
  <c r="G29" i="42"/>
  <c r="I28" i="52" s="1"/>
  <c r="E28" i="52" s="1"/>
  <c r="F28" i="52" s="1"/>
  <c r="H25" i="42"/>
  <c r="G25" i="42"/>
  <c r="I24" i="52" s="1"/>
  <c r="E24" i="52" s="1"/>
  <c r="F24" i="52" s="1"/>
  <c r="I25" i="42"/>
  <c r="H21" i="42"/>
  <c r="G21" i="42"/>
  <c r="I20" i="52" s="1"/>
  <c r="E20" i="52" s="1"/>
  <c r="F20" i="52" s="1"/>
  <c r="I21" i="42"/>
  <c r="G17" i="42"/>
  <c r="I16" i="52" s="1"/>
  <c r="E16" i="52" s="1"/>
  <c r="F16" i="52" s="1"/>
  <c r="I17" i="42"/>
  <c r="H17" i="42"/>
  <c r="H16" i="42"/>
  <c r="G16" i="42"/>
  <c r="I15" i="52" s="1"/>
  <c r="E15" i="52" s="1"/>
  <c r="F15" i="52" s="1"/>
  <c r="I16" i="42"/>
  <c r="H31" i="42"/>
  <c r="I31" i="42"/>
  <c r="G31" i="42"/>
  <c r="I30" i="52" s="1"/>
  <c r="E30" i="52" s="1"/>
  <c r="F30" i="52" s="1"/>
  <c r="H23" i="42"/>
  <c r="G23" i="42"/>
  <c r="I22" i="52" s="1"/>
  <c r="E22" i="52" s="1"/>
  <c r="F22" i="52" s="1"/>
  <c r="I23" i="42"/>
  <c r="E10" i="53"/>
  <c r="G13" i="42"/>
  <c r="I12" i="52" s="1"/>
  <c r="E12" i="52" s="1"/>
  <c r="F12" i="52" s="1"/>
  <c r="I13" i="42"/>
  <c r="H13" i="42"/>
  <c r="G9" i="42"/>
  <c r="I8" i="52" s="1"/>
  <c r="E8" i="52" s="1"/>
  <c r="F8" i="52" s="1"/>
  <c r="I9" i="42"/>
  <c r="H9" i="42"/>
  <c r="G5" i="42"/>
  <c r="I5" i="42"/>
  <c r="H5" i="42"/>
  <c r="H12" i="42"/>
  <c r="G12" i="42"/>
  <c r="I11" i="52" s="1"/>
  <c r="E11" i="52" s="1"/>
  <c r="F11" i="52" s="1"/>
  <c r="I12" i="42"/>
  <c r="H28" i="42"/>
  <c r="G28" i="42"/>
  <c r="I27" i="52" s="1"/>
  <c r="E27" i="52" s="1"/>
  <c r="F27" i="52" s="1"/>
  <c r="I28" i="42"/>
  <c r="G6" i="53"/>
  <c r="E17" i="53"/>
  <c r="E18" i="53"/>
  <c r="H20" i="42"/>
  <c r="I20" i="42"/>
  <c r="G20" i="42"/>
  <c r="I19" i="52" s="1"/>
  <c r="E19" i="52" s="1"/>
  <c r="F19" i="52" s="1"/>
  <c r="K15" i="54"/>
  <c r="E15" i="54" s="1"/>
  <c r="F15" i="54" s="1"/>
  <c r="J15" i="32"/>
  <c r="K15" i="55"/>
  <c r="E15" i="55" s="1"/>
  <c r="F15" i="55" s="1"/>
  <c r="C16" i="53"/>
  <c r="G13" i="53"/>
  <c r="E13" i="53"/>
  <c r="E11" i="53"/>
  <c r="AH196" i="65"/>
  <c r="AH225" i="65" s="1"/>
  <c r="D197" i="65"/>
  <c r="D225" i="65"/>
  <c r="AH309" i="65"/>
  <c r="D310" i="65"/>
  <c r="AH310" i="65" s="1"/>
  <c r="AH160" i="65"/>
  <c r="D161" i="65"/>
  <c r="B44" i="65"/>
  <c r="D114" i="65"/>
  <c r="AH85" i="65"/>
  <c r="AH114" i="65" s="1"/>
  <c r="D86" i="65"/>
  <c r="O17" i="29"/>
  <c r="R17" i="29" s="1"/>
  <c r="O12" i="29"/>
  <c r="R12" i="29" s="1"/>
  <c r="O19" i="29"/>
  <c r="R19" i="29" s="1"/>
  <c r="O10" i="29"/>
  <c r="R10" i="29" s="1"/>
  <c r="D272" i="65"/>
  <c r="AH271" i="65"/>
  <c r="AH123" i="65"/>
  <c r="D124" i="65"/>
  <c r="D77" i="65"/>
  <c r="AH48" i="65"/>
  <c r="D49" i="65"/>
  <c r="O13" i="29"/>
  <c r="R13" i="29" s="1"/>
  <c r="O8" i="29"/>
  <c r="R8" i="29" s="1"/>
  <c r="O15" i="29"/>
  <c r="R15" i="29" s="1"/>
  <c r="O6" i="29"/>
  <c r="R6" i="29" s="1"/>
  <c r="O9" i="29"/>
  <c r="R9" i="29" s="1"/>
  <c r="P34" i="29"/>
  <c r="Q4" i="29"/>
  <c r="N34" i="29"/>
  <c r="O4" i="29"/>
  <c r="R4" i="29" s="1"/>
  <c r="O11" i="29"/>
  <c r="R11" i="29" s="1"/>
  <c r="O18" i="29"/>
  <c r="R18" i="29" s="1"/>
  <c r="AD225" i="65"/>
  <c r="AD223" i="65"/>
  <c r="AD224" i="65" s="1"/>
  <c r="AH233" i="65"/>
  <c r="D234" i="65"/>
  <c r="F69" i="55"/>
  <c r="E38" i="55"/>
  <c r="C38" i="55" s="1"/>
  <c r="C69" i="55" s="1"/>
  <c r="O5" i="29"/>
  <c r="R5" i="29" s="1"/>
  <c r="O16" i="29"/>
  <c r="R16" i="29" s="1"/>
  <c r="O7" i="29"/>
  <c r="R7" i="29" s="1"/>
  <c r="O14" i="29"/>
  <c r="R14" i="29" s="1"/>
  <c r="AG20" i="82" l="1"/>
  <c r="C22" i="82"/>
  <c r="C4" i="83" s="1"/>
  <c r="E16" i="58"/>
  <c r="N5" i="82" s="1"/>
  <c r="E15" i="58"/>
  <c r="M5" i="82" s="1"/>
  <c r="E29" i="58"/>
  <c r="AA5" i="82" s="1"/>
  <c r="E23" i="58"/>
  <c r="U5" i="82" s="1"/>
  <c r="E18" i="58"/>
  <c r="P5" i="82" s="1"/>
  <c r="E26" i="58"/>
  <c r="X5" i="82" s="1"/>
  <c r="X23" i="57"/>
  <c r="S6" i="82" s="1"/>
  <c r="X11" i="57"/>
  <c r="F11" i="58" s="1"/>
  <c r="X5" i="57"/>
  <c r="X17" i="57"/>
  <c r="M6" i="82" s="1"/>
  <c r="AC3" i="57"/>
  <c r="K5" i="82"/>
  <c r="X7" i="57"/>
  <c r="Y7" i="57" s="1"/>
  <c r="G7" i="57" s="1"/>
  <c r="G6" i="82"/>
  <c r="E24" i="82"/>
  <c r="E26" i="82" s="1"/>
  <c r="E12" i="83" s="1"/>
  <c r="E4" i="83"/>
  <c r="F24" i="82"/>
  <c r="F27" i="82" s="1"/>
  <c r="F4" i="83"/>
  <c r="D24" i="82"/>
  <c r="D30" i="82" s="1"/>
  <c r="D4" i="83"/>
  <c r="C14" i="83"/>
  <c r="F31" i="82"/>
  <c r="AG17" i="82"/>
  <c r="M16" i="82"/>
  <c r="AG16" i="82" s="1"/>
  <c r="D30" i="83"/>
  <c r="F30" i="83" s="1"/>
  <c r="F32" i="83" s="1"/>
  <c r="AG13" i="82"/>
  <c r="C24" i="82"/>
  <c r="E14" i="53"/>
  <c r="G7" i="53"/>
  <c r="G8" i="53"/>
  <c r="X31" i="57"/>
  <c r="AA6" i="82" s="1"/>
  <c r="AD9" i="57"/>
  <c r="D35" i="60"/>
  <c r="D40" i="60" s="1"/>
  <c r="AD17" i="57"/>
  <c r="G9" i="53"/>
  <c r="X26" i="57"/>
  <c r="V6" i="82" s="1"/>
  <c r="AD6" i="57"/>
  <c r="X6" i="57"/>
  <c r="X13" i="57"/>
  <c r="F13" i="58" s="1"/>
  <c r="X10" i="57"/>
  <c r="F10" i="58" s="1"/>
  <c r="AE3" i="57"/>
  <c r="X18" i="57"/>
  <c r="N6" i="82" s="1"/>
  <c r="X8" i="57"/>
  <c r="AD8" i="57"/>
  <c r="G12" i="53"/>
  <c r="X12" i="57"/>
  <c r="F12" i="58" s="1"/>
  <c r="I34" i="21"/>
  <c r="U34" i="57"/>
  <c r="E32" i="58" s="1"/>
  <c r="U19" i="57"/>
  <c r="E17" i="58" s="1"/>
  <c r="U21" i="57"/>
  <c r="U32" i="57"/>
  <c r="E30" i="58" s="1"/>
  <c r="U27" i="57"/>
  <c r="E25" i="58" s="1"/>
  <c r="U30" i="57"/>
  <c r="E28" i="58" s="1"/>
  <c r="U35" i="57"/>
  <c r="U15" i="57"/>
  <c r="E14" i="58" s="1"/>
  <c r="U22" i="57"/>
  <c r="U12" i="57"/>
  <c r="E12" i="58" s="1"/>
  <c r="V5" i="82"/>
  <c r="Y23" i="57"/>
  <c r="F23" i="57" s="1"/>
  <c r="S5" i="82"/>
  <c r="E11" i="58"/>
  <c r="E10" i="58"/>
  <c r="U29" i="57"/>
  <c r="U24" i="57"/>
  <c r="U36" i="57"/>
  <c r="U33" i="57"/>
  <c r="Y20" i="57"/>
  <c r="F20" i="57" s="1"/>
  <c r="X28" i="57"/>
  <c r="X6" i="82" s="1"/>
  <c r="Y9" i="57"/>
  <c r="H9" i="57" s="1"/>
  <c r="AB19" i="57"/>
  <c r="N19" i="57"/>
  <c r="N21" i="57"/>
  <c r="AB21" i="57"/>
  <c r="N30" i="57"/>
  <c r="AB30" i="57"/>
  <c r="AB32" i="57"/>
  <c r="N32" i="57"/>
  <c r="D51" i="32"/>
  <c r="E50" i="32"/>
  <c r="C50" i="32" s="1"/>
  <c r="AB34" i="57"/>
  <c r="N34" i="57"/>
  <c r="C20" i="60"/>
  <c r="K18" i="55"/>
  <c r="E18" i="55" s="1"/>
  <c r="F18" i="55" s="1"/>
  <c r="C19" i="53"/>
  <c r="J18" i="32"/>
  <c r="K18" i="54"/>
  <c r="E18" i="54" s="1"/>
  <c r="F18" i="54" s="1"/>
  <c r="AB15" i="57"/>
  <c r="N15" i="57"/>
  <c r="AB22" i="57"/>
  <c r="N22" i="57"/>
  <c r="AB24" i="57"/>
  <c r="N24" i="57"/>
  <c r="AB27" i="57"/>
  <c r="N27" i="57"/>
  <c r="N29" i="57"/>
  <c r="AB29" i="57"/>
  <c r="AB35" i="57"/>
  <c r="N35" i="57"/>
  <c r="E46" i="54"/>
  <c r="C46" i="54" s="1"/>
  <c r="D47" i="54"/>
  <c r="G9" i="65"/>
  <c r="H8" i="65"/>
  <c r="G10" i="65"/>
  <c r="G15" i="53"/>
  <c r="E15" i="53"/>
  <c r="W7" i="27"/>
  <c r="Y7" i="27" s="1"/>
  <c r="AA7" i="27" s="1"/>
  <c r="X8" i="27" s="1"/>
  <c r="C21" i="29"/>
  <c r="E20" i="29"/>
  <c r="G20" i="19"/>
  <c r="C19" i="19"/>
  <c r="C20" i="42"/>
  <c r="H10" i="60"/>
  <c r="J9" i="29"/>
  <c r="F11" i="29"/>
  <c r="I10" i="29"/>
  <c r="H10" i="29"/>
  <c r="AB33" i="57"/>
  <c r="N33" i="57"/>
  <c r="AB36" i="57"/>
  <c r="N36" i="57"/>
  <c r="D42" i="60"/>
  <c r="Y17" i="57"/>
  <c r="D17" i="57" s="1"/>
  <c r="Y25" i="57"/>
  <c r="E16" i="53"/>
  <c r="G16" i="53"/>
  <c r="Y5" i="57"/>
  <c r="E5" i="57" s="1"/>
  <c r="G15" i="58"/>
  <c r="M7" i="82" s="1"/>
  <c r="G9" i="58"/>
  <c r="AH77" i="65"/>
  <c r="D235" i="65"/>
  <c r="AH234" i="65"/>
  <c r="D273" i="65"/>
  <c r="AH272" i="65"/>
  <c r="AH86" i="65"/>
  <c r="D87" i="65"/>
  <c r="D162" i="65"/>
  <c r="AH161" i="65"/>
  <c r="D125" i="65"/>
  <c r="AH124" i="65"/>
  <c r="AH197" i="65"/>
  <c r="D198" i="65"/>
  <c r="AH49" i="65"/>
  <c r="D50" i="65"/>
  <c r="G23" i="58" l="1"/>
  <c r="U7" i="82" s="1"/>
  <c r="U4" i="82" s="1"/>
  <c r="F30" i="82"/>
  <c r="G18" i="58"/>
  <c r="P7" i="82" s="1"/>
  <c r="P4" i="82" s="1"/>
  <c r="E31" i="58"/>
  <c r="AC5" i="82" s="1"/>
  <c r="E20" i="58"/>
  <c r="R5" i="82" s="1"/>
  <c r="E22" i="58"/>
  <c r="T5" i="82" s="1"/>
  <c r="E34" i="58"/>
  <c r="AF5" i="82" s="1"/>
  <c r="E33" i="58"/>
  <c r="AE5" i="82" s="1"/>
  <c r="E19" i="58"/>
  <c r="Q5" i="82" s="1"/>
  <c r="E27" i="58"/>
  <c r="Y5" i="82" s="1"/>
  <c r="F34" i="82"/>
  <c r="E34" i="82"/>
  <c r="E31" i="82"/>
  <c r="F32" i="82"/>
  <c r="E27" i="82"/>
  <c r="E30" i="82"/>
  <c r="I6" i="82"/>
  <c r="Y11" i="57"/>
  <c r="F11" i="57" s="1"/>
  <c r="I5" i="82"/>
  <c r="K6" i="82"/>
  <c r="H6" i="82"/>
  <c r="G7" i="82"/>
  <c r="G4" i="82" s="1"/>
  <c r="J6" i="82"/>
  <c r="D31" i="82"/>
  <c r="D32" i="82" s="1"/>
  <c r="F13" i="83"/>
  <c r="D27" i="82"/>
  <c r="D13" i="83" s="1"/>
  <c r="D26" i="82"/>
  <c r="D12" i="83" s="1"/>
  <c r="D34" i="82"/>
  <c r="F26" i="82"/>
  <c r="F12" i="83" s="1"/>
  <c r="E25" i="82"/>
  <c r="E28" i="82" s="1"/>
  <c r="E13" i="83"/>
  <c r="E11" i="83" s="1"/>
  <c r="E6" i="83" s="1"/>
  <c r="E14" i="83" s="1"/>
  <c r="M4" i="82"/>
  <c r="M10" i="82" s="1"/>
  <c r="G29" i="58"/>
  <c r="AA7" i="82" s="1"/>
  <c r="Y31" i="57"/>
  <c r="G31" i="57" s="1"/>
  <c r="Y18" i="57"/>
  <c r="D18" i="57" s="1"/>
  <c r="G10" i="58"/>
  <c r="H10" i="58" s="1"/>
  <c r="C10" i="59" s="1"/>
  <c r="H5" i="82"/>
  <c r="C30" i="82"/>
  <c r="C34" i="82"/>
  <c r="C31" i="82"/>
  <c r="C28" i="82"/>
  <c r="G12" i="58"/>
  <c r="J5" i="82"/>
  <c r="G24" i="58"/>
  <c r="V7" i="82" s="1"/>
  <c r="G16" i="58"/>
  <c r="N7" i="82" s="1"/>
  <c r="Y10" i="57"/>
  <c r="D10" i="57" s="1"/>
  <c r="G11" i="57"/>
  <c r="Y6" i="57"/>
  <c r="Y26" i="57"/>
  <c r="H26" i="57" s="1"/>
  <c r="Y8" i="57"/>
  <c r="H7" i="57"/>
  <c r="G13" i="58"/>
  <c r="K7" i="82" s="1"/>
  <c r="Y13" i="57"/>
  <c r="E13" i="57" s="1"/>
  <c r="F7" i="57"/>
  <c r="E7" i="57"/>
  <c r="D7" i="57"/>
  <c r="E23" i="57"/>
  <c r="G23" i="57"/>
  <c r="E11" i="57"/>
  <c r="T37" i="57"/>
  <c r="D23" i="57"/>
  <c r="H20" i="57"/>
  <c r="Y12" i="57"/>
  <c r="E12" i="57" s="1"/>
  <c r="G21" i="58"/>
  <c r="S7" i="82" s="1"/>
  <c r="G11" i="58"/>
  <c r="E20" i="57"/>
  <c r="H23" i="57"/>
  <c r="G20" i="57"/>
  <c r="D20" i="57"/>
  <c r="G26" i="58"/>
  <c r="X7" i="82" s="1"/>
  <c r="Y28" i="57"/>
  <c r="E9" i="57"/>
  <c r="F9" i="57"/>
  <c r="D9" i="57"/>
  <c r="G9" i="57"/>
  <c r="W8" i="27"/>
  <c r="Y8" i="27" s="1"/>
  <c r="AA8" i="27" s="1"/>
  <c r="X9" i="27" s="1"/>
  <c r="U37" i="57"/>
  <c r="AD36" i="57"/>
  <c r="X36" i="57"/>
  <c r="AD33" i="57"/>
  <c r="X33" i="57"/>
  <c r="G21" i="19"/>
  <c r="C20" i="19"/>
  <c r="C21" i="42"/>
  <c r="C22" i="29"/>
  <c r="E21" i="29"/>
  <c r="O21" i="29"/>
  <c r="R21" i="29" s="1"/>
  <c r="W5" i="82"/>
  <c r="H10" i="65"/>
  <c r="I8" i="65"/>
  <c r="H9" i="65"/>
  <c r="E47" i="54"/>
  <c r="C47" i="54" s="1"/>
  <c r="D48" i="54"/>
  <c r="AD35" i="57"/>
  <c r="X35" i="57"/>
  <c r="X29" i="57"/>
  <c r="AD29" i="57"/>
  <c r="AB5" i="82"/>
  <c r="AD34" i="57"/>
  <c r="X34" i="57"/>
  <c r="AD6" i="82" s="1"/>
  <c r="AD32" i="57"/>
  <c r="X32" i="57"/>
  <c r="AB6" i="82" s="1"/>
  <c r="AD19" i="57"/>
  <c r="X19" i="57"/>
  <c r="O6" i="82" s="1"/>
  <c r="Z5" i="82"/>
  <c r="H11" i="60"/>
  <c r="J11" i="60" s="1"/>
  <c r="J10" i="29"/>
  <c r="F12" i="29"/>
  <c r="I11" i="29"/>
  <c r="H11" i="29"/>
  <c r="Q11" i="29"/>
  <c r="J10" i="60"/>
  <c r="K19" i="55"/>
  <c r="E19" i="55" s="1"/>
  <c r="F19" i="55" s="1"/>
  <c r="C20" i="53"/>
  <c r="K19" i="54"/>
  <c r="E19" i="54" s="1"/>
  <c r="F19" i="54" s="1"/>
  <c r="J19" i="32"/>
  <c r="C21" i="60"/>
  <c r="O5" i="82"/>
  <c r="AD27" i="57"/>
  <c r="X27" i="57"/>
  <c r="W6" i="82" s="1"/>
  <c r="AD24" i="57"/>
  <c r="X24" i="57"/>
  <c r="X22" i="57"/>
  <c r="AD22" i="57"/>
  <c r="AD15" i="57"/>
  <c r="X15" i="57"/>
  <c r="E19" i="53"/>
  <c r="G19" i="53"/>
  <c r="AD5" i="82"/>
  <c r="D52" i="32"/>
  <c r="E51" i="32"/>
  <c r="C51" i="32" s="1"/>
  <c r="AD30" i="57"/>
  <c r="X30" i="57"/>
  <c r="Z6" i="82" s="1"/>
  <c r="AD21" i="57"/>
  <c r="X21" i="57"/>
  <c r="Q6" i="82" s="1"/>
  <c r="G17" i="57"/>
  <c r="E17" i="57"/>
  <c r="F17" i="57"/>
  <c r="H17" i="57"/>
  <c r="H9" i="58"/>
  <c r="C9" i="59" s="1"/>
  <c r="H15" i="58"/>
  <c r="C15" i="59" s="1"/>
  <c r="D15" i="59" s="1"/>
  <c r="F15" i="59" s="1"/>
  <c r="C6" i="59"/>
  <c r="D6" i="59" s="1"/>
  <c r="F6" i="59" s="1"/>
  <c r="C5" i="59"/>
  <c r="H23" i="58"/>
  <c r="C23" i="59" s="1"/>
  <c r="D23" i="59" s="1"/>
  <c r="F23" i="59" s="1"/>
  <c r="H5" i="57"/>
  <c r="D5" i="57"/>
  <c r="G5" i="57"/>
  <c r="F5" i="57"/>
  <c r="C7" i="59"/>
  <c r="E25" i="57"/>
  <c r="H25" i="57"/>
  <c r="D25" i="57"/>
  <c r="G25" i="57"/>
  <c r="F25" i="57"/>
  <c r="C8" i="59"/>
  <c r="AH50" i="65"/>
  <c r="D51" i="65"/>
  <c r="AH235" i="65"/>
  <c r="D236" i="65"/>
  <c r="AH198" i="65"/>
  <c r="D199" i="65"/>
  <c r="D126" i="65"/>
  <c r="AH125" i="65"/>
  <c r="AH162" i="65"/>
  <c r="D163" i="65"/>
  <c r="AH87" i="65"/>
  <c r="D88" i="65"/>
  <c r="D274" i="65"/>
  <c r="AH274" i="65" s="1"/>
  <c r="AH273" i="65"/>
  <c r="E32" i="82" l="1"/>
  <c r="U9" i="82"/>
  <c r="P10" i="82"/>
  <c r="H18" i="58"/>
  <c r="C18" i="59" s="1"/>
  <c r="D18" i="59" s="1"/>
  <c r="F11" i="83"/>
  <c r="F6" i="83" s="1"/>
  <c r="F14" i="83" s="1"/>
  <c r="D11" i="57"/>
  <c r="H11" i="57"/>
  <c r="U10" i="82"/>
  <c r="F10" i="57"/>
  <c r="I7" i="82"/>
  <c r="I4" i="82" s="1"/>
  <c r="I9" i="82" s="1"/>
  <c r="J7" i="82"/>
  <c r="H7" i="82"/>
  <c r="H4" i="82" s="1"/>
  <c r="L5" i="82"/>
  <c r="AG5" i="82" s="1"/>
  <c r="D10" i="59"/>
  <c r="F10" i="59" s="1"/>
  <c r="D11" i="83"/>
  <c r="X4" i="82"/>
  <c r="P9" i="82"/>
  <c r="N4" i="82"/>
  <c r="N9" i="82" s="1"/>
  <c r="M9" i="82"/>
  <c r="M8" i="82" s="1"/>
  <c r="V4" i="82"/>
  <c r="D25" i="82"/>
  <c r="D28" i="82" s="1"/>
  <c r="S4" i="82"/>
  <c r="F25" i="82"/>
  <c r="F28" i="82" s="1"/>
  <c r="K4" i="82"/>
  <c r="K10" i="82" s="1"/>
  <c r="AA4" i="82"/>
  <c r="F26" i="57"/>
  <c r="H18" i="57"/>
  <c r="E18" i="57"/>
  <c r="G18" i="57"/>
  <c r="H10" i="57"/>
  <c r="H16" i="58"/>
  <c r="C16" i="59" s="1"/>
  <c r="D16" i="59" s="1"/>
  <c r="F16" i="59" s="1"/>
  <c r="H24" i="58"/>
  <c r="C24" i="59" s="1"/>
  <c r="D24" i="59" s="1"/>
  <c r="F24" i="59" s="1"/>
  <c r="H29" i="58"/>
  <c r="C29" i="59" s="1"/>
  <c r="D29" i="59" s="1"/>
  <c r="F29" i="59" s="1"/>
  <c r="D31" i="57"/>
  <c r="E31" i="57"/>
  <c r="F18" i="57"/>
  <c r="H31" i="57"/>
  <c r="F31" i="57"/>
  <c r="G10" i="57"/>
  <c r="C32" i="82"/>
  <c r="E26" i="57"/>
  <c r="G10" i="82"/>
  <c r="G9" i="82"/>
  <c r="H12" i="58"/>
  <c r="C12" i="59" s="1"/>
  <c r="D12" i="59" s="1"/>
  <c r="F12" i="59" s="1"/>
  <c r="E10" i="57"/>
  <c r="F13" i="57"/>
  <c r="G13" i="57"/>
  <c r="G26" i="57"/>
  <c r="D13" i="57"/>
  <c r="F12" i="57"/>
  <c r="F8" i="57"/>
  <c r="D8" i="57"/>
  <c r="E8" i="57"/>
  <c r="G8" i="57"/>
  <c r="H8" i="57"/>
  <c r="H13" i="58"/>
  <c r="C13" i="59" s="1"/>
  <c r="D13" i="59" s="1"/>
  <c r="F13" i="59" s="1"/>
  <c r="H13" i="57"/>
  <c r="D26" i="57"/>
  <c r="H6" i="57"/>
  <c r="D6" i="57"/>
  <c r="G6" i="57"/>
  <c r="F6" i="57"/>
  <c r="E6" i="57"/>
  <c r="I7" i="57"/>
  <c r="I11" i="57"/>
  <c r="H21" i="58"/>
  <c r="C21" i="59" s="1"/>
  <c r="D21" i="59" s="1"/>
  <c r="F21" i="59" s="1"/>
  <c r="I23" i="57"/>
  <c r="H11" i="58"/>
  <c r="C11" i="59" s="1"/>
  <c r="D11" i="59" s="1"/>
  <c r="F11" i="59" s="1"/>
  <c r="H12" i="57"/>
  <c r="D12" i="57"/>
  <c r="G12" i="57"/>
  <c r="I20" i="57"/>
  <c r="H26" i="58"/>
  <c r="C26" i="59" s="1"/>
  <c r="D26" i="59" s="1"/>
  <c r="F26" i="59" s="1"/>
  <c r="F28" i="57"/>
  <c r="D28" i="57"/>
  <c r="H28" i="57"/>
  <c r="E28" i="57"/>
  <c r="G28" i="57"/>
  <c r="Y34" i="57"/>
  <c r="H34" i="57" s="1"/>
  <c r="I9" i="57"/>
  <c r="Y19" i="57"/>
  <c r="H19" i="57" s="1"/>
  <c r="W9" i="27"/>
  <c r="Y9" i="27" s="1"/>
  <c r="AA9" i="27" s="1"/>
  <c r="X10" i="27" s="1"/>
  <c r="D53" i="32"/>
  <c r="E52" i="32"/>
  <c r="C52" i="32" s="1"/>
  <c r="G32" i="58"/>
  <c r="AD7" i="82" s="1"/>
  <c r="X37" i="57"/>
  <c r="T6" i="82"/>
  <c r="Y24" i="57"/>
  <c r="E20" i="53"/>
  <c r="G20" i="53"/>
  <c r="G28" i="58"/>
  <c r="Z7" i="82" s="1"/>
  <c r="G30" i="58"/>
  <c r="AB7" i="82" s="1"/>
  <c r="Y6" i="82"/>
  <c r="Y29" i="57"/>
  <c r="I9" i="65"/>
  <c r="J8" i="65"/>
  <c r="I10" i="65"/>
  <c r="G25" i="58"/>
  <c r="W7" i="82" s="1"/>
  <c r="C22" i="60"/>
  <c r="C21" i="19"/>
  <c r="G22" i="19"/>
  <c r="C22" i="42"/>
  <c r="AC6" i="82"/>
  <c r="Y33" i="57"/>
  <c r="AF6" i="82"/>
  <c r="Y36" i="57"/>
  <c r="E35" i="58"/>
  <c r="Y15" i="57"/>
  <c r="Y21" i="57"/>
  <c r="G19" i="58"/>
  <c r="Q7" i="82" s="1"/>
  <c r="R6" i="82"/>
  <c r="Y22" i="57"/>
  <c r="G17" i="58"/>
  <c r="O7" i="82" s="1"/>
  <c r="H12" i="60"/>
  <c r="J11" i="29"/>
  <c r="F13" i="29"/>
  <c r="I12" i="29"/>
  <c r="H12" i="29"/>
  <c r="Q12" i="29"/>
  <c r="Y30" i="57"/>
  <c r="Y32" i="57"/>
  <c r="AE6" i="82"/>
  <c r="Y35" i="57"/>
  <c r="E48" i="54"/>
  <c r="C48" i="54" s="1"/>
  <c r="D49" i="54"/>
  <c r="Y27" i="57"/>
  <c r="C23" i="29"/>
  <c r="E22" i="29"/>
  <c r="O22" i="29"/>
  <c r="R22" i="29" s="1"/>
  <c r="K20" i="55"/>
  <c r="E20" i="55" s="1"/>
  <c r="F20" i="55" s="1"/>
  <c r="J20" i="32"/>
  <c r="K20" i="54"/>
  <c r="E20" i="54" s="1"/>
  <c r="F20" i="54" s="1"/>
  <c r="C21" i="53"/>
  <c r="I17" i="57"/>
  <c r="D9" i="59"/>
  <c r="F9" i="59" s="1"/>
  <c r="I25" i="57"/>
  <c r="D7" i="59"/>
  <c r="F7" i="59" s="1"/>
  <c r="D8" i="59"/>
  <c r="F8" i="59" s="1"/>
  <c r="I5" i="57"/>
  <c r="D5" i="59"/>
  <c r="D89" i="65"/>
  <c r="AH88" i="65"/>
  <c r="D200" i="65"/>
  <c r="AH199" i="65"/>
  <c r="D127" i="65"/>
  <c r="AH126" i="65"/>
  <c r="AH236" i="65"/>
  <c r="D237" i="65"/>
  <c r="D52" i="65"/>
  <c r="AH51" i="65"/>
  <c r="D164" i="65"/>
  <c r="AH163" i="65"/>
  <c r="U8" i="82" l="1"/>
  <c r="P8" i="82"/>
  <c r="S9" i="82"/>
  <c r="V10" i="82"/>
  <c r="AA9" i="82"/>
  <c r="X10" i="82"/>
  <c r="F18" i="59"/>
  <c r="I10" i="82"/>
  <c r="I8" i="82" s="1"/>
  <c r="AA10" i="82"/>
  <c r="V9" i="82"/>
  <c r="X9" i="82"/>
  <c r="J4" i="82"/>
  <c r="I6" i="57"/>
  <c r="H16" i="59"/>
  <c r="N11" i="82"/>
  <c r="I11" i="82"/>
  <c r="S10" i="82"/>
  <c r="G11" i="82"/>
  <c r="V11" i="82"/>
  <c r="Q4" i="82"/>
  <c r="N10" i="82"/>
  <c r="N8" i="82" s="1"/>
  <c r="W4" i="82"/>
  <c r="AD4" i="82"/>
  <c r="K9" i="82"/>
  <c r="K8" i="82" s="1"/>
  <c r="O4" i="82"/>
  <c r="AB4" i="82"/>
  <c r="D6" i="83"/>
  <c r="Z4" i="82"/>
  <c r="I31" i="57"/>
  <c r="I18" i="57"/>
  <c r="H24" i="59"/>
  <c r="J11" i="82"/>
  <c r="I10" i="57"/>
  <c r="H11" i="82"/>
  <c r="I13" i="57"/>
  <c r="H10" i="82"/>
  <c r="H9" i="82"/>
  <c r="G8" i="82"/>
  <c r="G14" i="58"/>
  <c r="L7" i="82" s="1"/>
  <c r="L6" i="82"/>
  <c r="K11" i="82"/>
  <c r="I26" i="57"/>
  <c r="I8" i="57"/>
  <c r="I12" i="57"/>
  <c r="I28" i="57"/>
  <c r="D34" i="57"/>
  <c r="D19" i="57"/>
  <c r="G34" i="57"/>
  <c r="G19" i="57"/>
  <c r="F34" i="57"/>
  <c r="E34" i="57"/>
  <c r="F19" i="57"/>
  <c r="E19" i="57"/>
  <c r="C23" i="60"/>
  <c r="G33" i="58"/>
  <c r="AE7" i="82" s="1"/>
  <c r="D30" i="57"/>
  <c r="H30" i="57"/>
  <c r="G30" i="57"/>
  <c r="E30" i="57"/>
  <c r="F30" i="57"/>
  <c r="H13" i="60"/>
  <c r="J13" i="60" s="1"/>
  <c r="J12" i="29"/>
  <c r="F14" i="29"/>
  <c r="I13" i="29"/>
  <c r="H13" i="29"/>
  <c r="Q13" i="29"/>
  <c r="J12" i="60"/>
  <c r="H17" i="58"/>
  <c r="D22" i="57"/>
  <c r="H22" i="57"/>
  <c r="G22" i="57"/>
  <c r="F22" i="57"/>
  <c r="E22" i="57"/>
  <c r="G21" i="57"/>
  <c r="H21" i="57"/>
  <c r="E21" i="57"/>
  <c r="D21" i="57"/>
  <c r="F21" i="57"/>
  <c r="G34" i="58"/>
  <c r="AF7" i="82" s="1"/>
  <c r="G31" i="58"/>
  <c r="AC7" i="82" s="1"/>
  <c r="G23" i="19"/>
  <c r="C22" i="19"/>
  <c r="C23" i="42"/>
  <c r="J10" i="65"/>
  <c r="K8" i="65"/>
  <c r="J9" i="65"/>
  <c r="G27" i="58"/>
  <c r="Y7" i="82" s="1"/>
  <c r="H30" i="58"/>
  <c r="C30" i="59" s="1"/>
  <c r="D30" i="59" s="1"/>
  <c r="F30" i="59" s="1"/>
  <c r="H28" i="58"/>
  <c r="C28" i="59" s="1"/>
  <c r="D28" i="59" s="1"/>
  <c r="F28" i="59" s="1"/>
  <c r="G22" i="58"/>
  <c r="T7" i="82" s="1"/>
  <c r="F35" i="58"/>
  <c r="E21" i="53"/>
  <c r="G21" i="53"/>
  <c r="C24" i="29"/>
  <c r="E23" i="29"/>
  <c r="O23" i="29"/>
  <c r="R23" i="29" s="1"/>
  <c r="G27" i="57"/>
  <c r="F27" i="57"/>
  <c r="E27" i="57"/>
  <c r="D27" i="57"/>
  <c r="H27" i="57"/>
  <c r="E49" i="54"/>
  <c r="C49" i="54" s="1"/>
  <c r="D50" i="54"/>
  <c r="D35" i="57"/>
  <c r="F35" i="57"/>
  <c r="E35" i="57"/>
  <c r="G35" i="57"/>
  <c r="H35" i="57"/>
  <c r="E32" i="57"/>
  <c r="G32" i="57"/>
  <c r="F32" i="57"/>
  <c r="D32" i="57"/>
  <c r="H32" i="57"/>
  <c r="G20" i="58"/>
  <c r="R7" i="82" s="1"/>
  <c r="H19" i="58"/>
  <c r="C19" i="59" s="1"/>
  <c r="D19" i="59" s="1"/>
  <c r="F19" i="59" s="1"/>
  <c r="F15" i="57"/>
  <c r="G15" i="57"/>
  <c r="E15" i="57"/>
  <c r="D15" i="57"/>
  <c r="H15" i="57"/>
  <c r="Y37" i="57"/>
  <c r="E36" i="57"/>
  <c r="F36" i="57"/>
  <c r="D36" i="57"/>
  <c r="H36" i="57"/>
  <c r="G36" i="57"/>
  <c r="E33" i="57"/>
  <c r="G33" i="57"/>
  <c r="F33" i="57"/>
  <c r="D33" i="57"/>
  <c r="H33" i="57"/>
  <c r="K21" i="55"/>
  <c r="E21" i="55" s="1"/>
  <c r="F21" i="55" s="1"/>
  <c r="C22" i="53"/>
  <c r="J21" i="32"/>
  <c r="K21" i="54"/>
  <c r="E21" i="54" s="1"/>
  <c r="F21" i="54" s="1"/>
  <c r="H25" i="58"/>
  <c r="C25" i="59" s="1"/>
  <c r="D25" i="59" s="1"/>
  <c r="F25" i="59" s="1"/>
  <c r="E29" i="57"/>
  <c r="G29" i="57"/>
  <c r="D29" i="57"/>
  <c r="H29" i="57"/>
  <c r="F29" i="57"/>
  <c r="F24" i="57"/>
  <c r="D24" i="57"/>
  <c r="H24" i="57"/>
  <c r="E24" i="57"/>
  <c r="G24" i="57"/>
  <c r="H32" i="58"/>
  <c r="C32" i="59" s="1"/>
  <c r="D32" i="59" s="1"/>
  <c r="F32" i="59" s="1"/>
  <c r="D54" i="32"/>
  <c r="E53" i="32"/>
  <c r="C53" i="32" s="1"/>
  <c r="W10" i="27"/>
  <c r="Y10" i="27" s="1"/>
  <c r="AA10" i="27" s="1"/>
  <c r="X11" i="27" s="1"/>
  <c r="H10" i="59"/>
  <c r="H9" i="59"/>
  <c r="H11" i="59"/>
  <c r="H8" i="59"/>
  <c r="H7" i="59"/>
  <c r="H12" i="59"/>
  <c r="F5" i="59"/>
  <c r="H13" i="59"/>
  <c r="AH237" i="65"/>
  <c r="D238" i="65"/>
  <c r="AH238" i="65" s="1"/>
  <c r="AH164" i="65"/>
  <c r="D165" i="65"/>
  <c r="AH200" i="65"/>
  <c r="D201" i="65"/>
  <c r="D53" i="65"/>
  <c r="AH52" i="65"/>
  <c r="D128" i="65"/>
  <c r="AH127" i="65"/>
  <c r="D90" i="65"/>
  <c r="AH89" i="65"/>
  <c r="AA8" i="82" l="1"/>
  <c r="V8" i="82"/>
  <c r="V12" i="82" s="1"/>
  <c r="V21" i="82" s="1"/>
  <c r="V22" i="82" s="1"/>
  <c r="C17" i="59"/>
  <c r="D17" i="59" s="1"/>
  <c r="F17" i="59" s="1"/>
  <c r="P11" i="82" s="1"/>
  <c r="P12" i="82" s="1"/>
  <c r="X8" i="82"/>
  <c r="AD9" i="82"/>
  <c r="Q9" i="82"/>
  <c r="Z10" i="82"/>
  <c r="W9" i="82"/>
  <c r="AB10" i="82"/>
  <c r="S8" i="82"/>
  <c r="O9" i="82"/>
  <c r="Q10" i="82"/>
  <c r="I12" i="82"/>
  <c r="I21" i="82" s="1"/>
  <c r="AD10" i="82"/>
  <c r="N12" i="82"/>
  <c r="N21" i="82" s="1"/>
  <c r="W10" i="82"/>
  <c r="AB9" i="82"/>
  <c r="H8" i="82"/>
  <c r="H12" i="82" s="1"/>
  <c r="H21" i="82" s="1"/>
  <c r="J10" i="82"/>
  <c r="J9" i="82"/>
  <c r="AB11" i="82"/>
  <c r="Z9" i="82"/>
  <c r="D14" i="83"/>
  <c r="Y4" i="82"/>
  <c r="AC4" i="82"/>
  <c r="AF4" i="82"/>
  <c r="AE4" i="82"/>
  <c r="O10" i="82"/>
  <c r="T4" i="82"/>
  <c r="R4" i="82"/>
  <c r="H29" i="59"/>
  <c r="AA11" i="82"/>
  <c r="G12" i="82"/>
  <c r="G21" i="82" s="1"/>
  <c r="K12" i="82"/>
  <c r="K21" i="82" s="1"/>
  <c r="H25" i="59"/>
  <c r="W11" i="82"/>
  <c r="X11" i="82"/>
  <c r="H19" i="59"/>
  <c r="Q11" i="82"/>
  <c r="AG6" i="82"/>
  <c r="L4" i="82"/>
  <c r="AG7" i="82"/>
  <c r="H14" i="58"/>
  <c r="C14" i="59" s="1"/>
  <c r="I34" i="57"/>
  <c r="I19" i="57"/>
  <c r="H30" i="59"/>
  <c r="I32" i="57"/>
  <c r="I27" i="57"/>
  <c r="H31" i="58"/>
  <c r="C31" i="59" s="1"/>
  <c r="D31" i="59" s="1"/>
  <c r="F31" i="59" s="1"/>
  <c r="H26" i="59"/>
  <c r="I33" i="57"/>
  <c r="H37" i="57"/>
  <c r="H33" i="58"/>
  <c r="C33" i="59" s="1"/>
  <c r="D33" i="59" s="1"/>
  <c r="F33" i="59" s="1"/>
  <c r="W11" i="27"/>
  <c r="Y11" i="27" s="1"/>
  <c r="AA11" i="27" s="1"/>
  <c r="X12" i="27" s="1"/>
  <c r="D55" i="32"/>
  <c r="E54" i="32"/>
  <c r="C54" i="32" s="1"/>
  <c r="I24" i="57"/>
  <c r="I29" i="57"/>
  <c r="I36" i="57"/>
  <c r="E37" i="57"/>
  <c r="F37" i="57"/>
  <c r="I35" i="57"/>
  <c r="C24" i="60"/>
  <c r="J22" i="32"/>
  <c r="K22" i="54"/>
  <c r="E22" i="54" s="1"/>
  <c r="F22" i="54" s="1"/>
  <c r="K22" i="55"/>
  <c r="E22" i="55" s="1"/>
  <c r="F22" i="55" s="1"/>
  <c r="C23" i="53"/>
  <c r="G35" i="58"/>
  <c r="I22" i="57"/>
  <c r="H14" i="60"/>
  <c r="J13" i="29"/>
  <c r="F15" i="29"/>
  <c r="I14" i="29"/>
  <c r="H14" i="29"/>
  <c r="Q14" i="29"/>
  <c r="G22" i="53"/>
  <c r="E22" i="53"/>
  <c r="I15" i="57"/>
  <c r="D37" i="57"/>
  <c r="G37" i="57"/>
  <c r="H20" i="58"/>
  <c r="C20" i="59" s="1"/>
  <c r="D20" i="59" s="1"/>
  <c r="F20" i="59" s="1"/>
  <c r="E50" i="54"/>
  <c r="C50" i="54" s="1"/>
  <c r="D51" i="54"/>
  <c r="C25" i="29"/>
  <c r="E24" i="29"/>
  <c r="O24" i="29"/>
  <c r="R24" i="29" s="1"/>
  <c r="H22" i="58"/>
  <c r="C22" i="59" s="1"/>
  <c r="D22" i="59" s="1"/>
  <c r="F22" i="59" s="1"/>
  <c r="H27" i="58"/>
  <c r="C27" i="59" s="1"/>
  <c r="D27" i="59" s="1"/>
  <c r="F27" i="59" s="1"/>
  <c r="K9" i="65"/>
  <c r="L8" i="65"/>
  <c r="K10" i="65"/>
  <c r="G24" i="19"/>
  <c r="C24" i="42"/>
  <c r="C23" i="19"/>
  <c r="H34" i="58"/>
  <c r="C34" i="59" s="1"/>
  <c r="D34" i="59" s="1"/>
  <c r="F34" i="59" s="1"/>
  <c r="I21" i="57"/>
  <c r="I30" i="57"/>
  <c r="H5" i="59"/>
  <c r="H6" i="59"/>
  <c r="D129" i="65"/>
  <c r="AH128" i="65"/>
  <c r="AH165" i="65"/>
  <c r="D166" i="65"/>
  <c r="AH90" i="65"/>
  <c r="D91" i="65"/>
  <c r="D54" i="65"/>
  <c r="AH53" i="65"/>
  <c r="D202" i="65"/>
  <c r="AH201" i="65"/>
  <c r="O11" i="82" l="1"/>
  <c r="H18" i="59"/>
  <c r="AA12" i="82"/>
  <c r="AA21" i="82" s="1"/>
  <c r="AA22" i="82" s="1"/>
  <c r="X12" i="82"/>
  <c r="H17" i="59"/>
  <c r="Q8" i="82"/>
  <c r="Q12" i="82" s="1"/>
  <c r="Q21" i="82" s="1"/>
  <c r="D4" i="84" a="1"/>
  <c r="R10" i="82"/>
  <c r="AF10" i="82"/>
  <c r="AE10" i="82"/>
  <c r="AC10" i="82"/>
  <c r="Y9" i="82"/>
  <c r="AD8" i="82"/>
  <c r="T9" i="82"/>
  <c r="O8" i="82"/>
  <c r="O12" i="82" s="1"/>
  <c r="O21" i="82" s="1"/>
  <c r="O22" i="82" s="1"/>
  <c r="AB8" i="82"/>
  <c r="AB12" i="82" s="1"/>
  <c r="AB21" i="82" s="1"/>
  <c r="AB22" i="82" s="1"/>
  <c r="W8" i="82"/>
  <c r="W12" i="82" s="1"/>
  <c r="Z8" i="82"/>
  <c r="H22" i="82"/>
  <c r="I22" i="82"/>
  <c r="I4" i="83" s="1"/>
  <c r="R9" i="82"/>
  <c r="N22" i="82"/>
  <c r="N24" i="82" s="1"/>
  <c r="N26" i="82" s="1"/>
  <c r="N12" i="83" s="1"/>
  <c r="AE9" i="82"/>
  <c r="J8" i="82"/>
  <c r="J12" i="82" s="1"/>
  <c r="J21" i="82" s="1"/>
  <c r="J22" i="82" s="1"/>
  <c r="Y10" i="82"/>
  <c r="V24" i="82"/>
  <c r="V34" i="82" s="1"/>
  <c r="V4" i="83"/>
  <c r="P21" i="82"/>
  <c r="P22" i="82" s="1"/>
  <c r="AC11" i="82"/>
  <c r="Y11" i="82"/>
  <c r="X21" i="82"/>
  <c r="X22" i="82" s="1"/>
  <c r="AE11" i="82"/>
  <c r="T10" i="82"/>
  <c r="AF9" i="82"/>
  <c r="AC9" i="82"/>
  <c r="I24" i="82"/>
  <c r="I27" i="82" s="1"/>
  <c r="I13" i="83" s="1"/>
  <c r="H24" i="82"/>
  <c r="H31" i="82" s="1"/>
  <c r="H4" i="83"/>
  <c r="Z11" i="82"/>
  <c r="AF11" i="82"/>
  <c r="R11" i="82"/>
  <c r="S11" i="82"/>
  <c r="S12" i="82" s="1"/>
  <c r="S21" i="82" s="1"/>
  <c r="L10" i="82"/>
  <c r="L9" i="82"/>
  <c r="AG4" i="82"/>
  <c r="AD11" i="82"/>
  <c r="G22" i="82"/>
  <c r="G4" i="83" s="1"/>
  <c r="K22" i="82"/>
  <c r="T11" i="82"/>
  <c r="U11" i="82"/>
  <c r="U12" i="82" s="1"/>
  <c r="U21" i="82" s="1"/>
  <c r="H31" i="59"/>
  <c r="H32" i="59"/>
  <c r="H33" i="59"/>
  <c r="W12" i="27"/>
  <c r="Y12" i="27" s="1"/>
  <c r="AA12" i="27" s="1"/>
  <c r="X13" i="27" s="1"/>
  <c r="J23" i="32"/>
  <c r="K23" i="55"/>
  <c r="E23" i="55" s="1"/>
  <c r="F23" i="55" s="1"/>
  <c r="K23" i="54"/>
  <c r="E23" i="54" s="1"/>
  <c r="F23" i="54" s="1"/>
  <c r="C24" i="53"/>
  <c r="C24" i="19"/>
  <c r="G25" i="19"/>
  <c r="C25" i="42"/>
  <c r="L10" i="65"/>
  <c r="M8" i="65"/>
  <c r="L9" i="65"/>
  <c r="H35" i="58"/>
  <c r="C26" i="29"/>
  <c r="E25" i="29"/>
  <c r="O25" i="29"/>
  <c r="R25" i="29" s="1"/>
  <c r="E51" i="54"/>
  <c r="C51" i="54" s="1"/>
  <c r="D52" i="54"/>
  <c r="I37" i="57"/>
  <c r="E23" i="53"/>
  <c r="G23" i="53"/>
  <c r="D56" i="32"/>
  <c r="E55" i="32"/>
  <c r="C55" i="32" s="1"/>
  <c r="H34" i="59"/>
  <c r="H27" i="59"/>
  <c r="H28" i="59"/>
  <c r="H23" i="59"/>
  <c r="H22" i="59"/>
  <c r="D14" i="59"/>
  <c r="D35" i="59" s="1"/>
  <c r="C35" i="59"/>
  <c r="C25" i="60"/>
  <c r="H21" i="59"/>
  <c r="H20" i="59"/>
  <c r="H15" i="60"/>
  <c r="J14" i="29"/>
  <c r="F16" i="29"/>
  <c r="I15" i="29"/>
  <c r="H15" i="29"/>
  <c r="Q15" i="29"/>
  <c r="J14" i="60"/>
  <c r="D203" i="65"/>
  <c r="AH202" i="65"/>
  <c r="D167" i="65"/>
  <c r="AH166" i="65"/>
  <c r="D55" i="65"/>
  <c r="AH54" i="65"/>
  <c r="AH91" i="65"/>
  <c r="D92" i="65"/>
  <c r="D130" i="65"/>
  <c r="AH129" i="65"/>
  <c r="AE8" i="82" l="1"/>
  <c r="AE12" i="82" s="1"/>
  <c r="AE21" i="82" s="1"/>
  <c r="D4" i="84"/>
  <c r="W4" i="84"/>
  <c r="W6" i="84" s="1"/>
  <c r="N4" i="84"/>
  <c r="N6" i="84" s="1"/>
  <c r="V4" i="84"/>
  <c r="V6" i="84" s="1"/>
  <c r="M4" i="84"/>
  <c r="M6" i="84" s="1"/>
  <c r="X4" i="84"/>
  <c r="X6" i="84" s="1"/>
  <c r="I4" i="84"/>
  <c r="I6" i="84" s="1"/>
  <c r="L4" i="84"/>
  <c r="L6" i="84" s="1"/>
  <c r="H4" i="84"/>
  <c r="H6" i="84" s="1"/>
  <c r="Q4" i="84"/>
  <c r="Q6" i="84" s="1"/>
  <c r="G4" i="84"/>
  <c r="G6" i="84" s="1"/>
  <c r="E4" i="84"/>
  <c r="E6" i="84" s="1"/>
  <c r="R4" i="84"/>
  <c r="R6" i="84" s="1"/>
  <c r="U4" i="84"/>
  <c r="U6" i="84" s="1"/>
  <c r="F4" i="84"/>
  <c r="F6" i="84" s="1"/>
  <c r="T4" i="84"/>
  <c r="T6" i="84" s="1"/>
  <c r="AA4" i="84"/>
  <c r="AA6" i="84" s="1"/>
  <c r="S4" i="84"/>
  <c r="S6" i="84" s="1"/>
  <c r="O4" i="84"/>
  <c r="O6" i="84" s="1"/>
  <c r="AB4" i="84"/>
  <c r="AB6" i="84" s="1"/>
  <c r="Z4" i="84"/>
  <c r="Z6" i="84" s="1"/>
  <c r="P4" i="84"/>
  <c r="P6" i="84" s="1"/>
  <c r="K4" i="84"/>
  <c r="K6" i="84" s="1"/>
  <c r="Y4" i="84"/>
  <c r="Y6" i="84" s="1"/>
  <c r="J4" i="84"/>
  <c r="J6" i="84" s="1"/>
  <c r="Z12" i="82"/>
  <c r="Z21" i="82" s="1"/>
  <c r="Z22" i="82" s="1"/>
  <c r="AF8" i="82"/>
  <c r="AF12" i="82" s="1"/>
  <c r="AF21" i="82" s="1"/>
  <c r="T8" i="82"/>
  <c r="T12" i="82" s="1"/>
  <c r="T21" i="82" s="1"/>
  <c r="R8" i="82"/>
  <c r="R12" i="82" s="1"/>
  <c r="AD12" i="82"/>
  <c r="AD21" i="82" s="1"/>
  <c r="AC8" i="82"/>
  <c r="AC12" i="82" s="1"/>
  <c r="AC21" i="82" s="1"/>
  <c r="Y8" i="82"/>
  <c r="Y12" i="82" s="1"/>
  <c r="Y21" i="82" s="1"/>
  <c r="Y22" i="82" s="1"/>
  <c r="N4" i="83"/>
  <c r="V31" i="82"/>
  <c r="V26" i="82"/>
  <c r="V12" i="83" s="1"/>
  <c r="V30" i="82"/>
  <c r="V27" i="82"/>
  <c r="V13" i="83" s="1"/>
  <c r="AA24" i="82"/>
  <c r="AA27" i="82" s="1"/>
  <c r="AA13" i="83" s="1"/>
  <c r="AA4" i="83"/>
  <c r="AG10" i="82"/>
  <c r="O24" i="82"/>
  <c r="O27" i="82" s="1"/>
  <c r="O13" i="83" s="1"/>
  <c r="O4" i="83"/>
  <c r="AB24" i="82"/>
  <c r="AB30" i="82" s="1"/>
  <c r="AB4" i="83"/>
  <c r="J24" i="82"/>
  <c r="J4" i="83"/>
  <c r="P24" i="82"/>
  <c r="P27" i="82" s="1"/>
  <c r="P13" i="83" s="1"/>
  <c r="P4" i="83"/>
  <c r="X24" i="82"/>
  <c r="X30" i="82" s="1"/>
  <c r="X4" i="83"/>
  <c r="W21" i="82"/>
  <c r="W22" i="82" s="1"/>
  <c r="W24" i="82" s="1"/>
  <c r="W34" i="82" s="1"/>
  <c r="I30" i="82"/>
  <c r="I26" i="82"/>
  <c r="I12" i="83" s="1"/>
  <c r="I11" i="83" s="1"/>
  <c r="I6" i="83" s="1"/>
  <c r="I14" i="83" s="1"/>
  <c r="Q22" i="82"/>
  <c r="Q4" i="83" s="1"/>
  <c r="I31" i="82"/>
  <c r="N34" i="82"/>
  <c r="H34" i="82"/>
  <c r="H30" i="82"/>
  <c r="H32" i="82" s="1"/>
  <c r="H26" i="82"/>
  <c r="N27" i="82"/>
  <c r="N13" i="83" s="1"/>
  <c r="N11" i="83" s="1"/>
  <c r="N6" i="83" s="1"/>
  <c r="H27" i="82"/>
  <c r="H13" i="83" s="1"/>
  <c r="N31" i="82"/>
  <c r="K24" i="82"/>
  <c r="K26" i="82" s="1"/>
  <c r="K12" i="83" s="1"/>
  <c r="K4" i="83"/>
  <c r="N30" i="82"/>
  <c r="I34" i="82"/>
  <c r="S22" i="82"/>
  <c r="L8" i="82"/>
  <c r="AG9" i="82"/>
  <c r="U22" i="82"/>
  <c r="G24" i="82"/>
  <c r="W13" i="27"/>
  <c r="Y13" i="27" s="1"/>
  <c r="AA13" i="27" s="1"/>
  <c r="X14" i="27" s="1"/>
  <c r="E52" i="54"/>
  <c r="C52" i="54" s="1"/>
  <c r="D53" i="54"/>
  <c r="C26" i="60"/>
  <c r="G26" i="19"/>
  <c r="C25" i="19"/>
  <c r="C26" i="42"/>
  <c r="G24" i="53"/>
  <c r="E24" i="53"/>
  <c r="H16" i="60"/>
  <c r="J16" i="60" s="1"/>
  <c r="J15" i="29"/>
  <c r="I16" i="29"/>
  <c r="F17" i="29"/>
  <c r="H16" i="29"/>
  <c r="Q16" i="29"/>
  <c r="J15" i="60"/>
  <c r="F14" i="59"/>
  <c r="D57" i="32"/>
  <c r="E56" i="32"/>
  <c r="C56" i="32" s="1"/>
  <c r="C27" i="29"/>
  <c r="E26" i="29"/>
  <c r="O26" i="29"/>
  <c r="R26" i="29" s="1"/>
  <c r="M9" i="65"/>
  <c r="N8" i="65"/>
  <c r="M10" i="65"/>
  <c r="K24" i="54"/>
  <c r="E24" i="54" s="1"/>
  <c r="F24" i="54" s="1"/>
  <c r="J24" i="32"/>
  <c r="K24" i="55"/>
  <c r="E24" i="55" s="1"/>
  <c r="F24" i="55" s="1"/>
  <c r="C25" i="53"/>
  <c r="D93" i="65"/>
  <c r="AH92" i="65"/>
  <c r="AH203" i="65"/>
  <c r="D204" i="65"/>
  <c r="AH130" i="65"/>
  <c r="D131" i="65"/>
  <c r="AH167" i="65"/>
  <c r="D168" i="65"/>
  <c r="AH55" i="65"/>
  <c r="D56" i="65"/>
  <c r="AD22" i="82" l="1"/>
  <c r="D6" i="84"/>
  <c r="C4" i="84"/>
  <c r="C6" i="84" s="1"/>
  <c r="R21" i="82"/>
  <c r="R22" i="82" s="1"/>
  <c r="AB26" i="82"/>
  <c r="AB12" i="83" s="1"/>
  <c r="AB34" i="82"/>
  <c r="V32" i="82"/>
  <c r="AB31" i="82"/>
  <c r="AB32" i="82" s="1"/>
  <c r="N14" i="83"/>
  <c r="AA31" i="82"/>
  <c r="AB27" i="82"/>
  <c r="AB13" i="83" s="1"/>
  <c r="V11" i="83"/>
  <c r="V6" i="83" s="1"/>
  <c r="V14" i="83" s="1"/>
  <c r="AC22" i="82"/>
  <c r="AC24" i="82" s="1"/>
  <c r="AC30" i="82" s="1"/>
  <c r="P26" i="82"/>
  <c r="P25" i="82" s="1"/>
  <c r="P28" i="82" s="1"/>
  <c r="V25" i="82"/>
  <c r="V28" i="82" s="1"/>
  <c r="AA26" i="82"/>
  <c r="AA12" i="83" s="1"/>
  <c r="AA11" i="83" s="1"/>
  <c r="AA6" i="83" s="1"/>
  <c r="AA14" i="83" s="1"/>
  <c r="P30" i="82"/>
  <c r="O31" i="82"/>
  <c r="P31" i="82"/>
  <c r="P34" i="82"/>
  <c r="O34" i="82"/>
  <c r="O30" i="82"/>
  <c r="AE22" i="82"/>
  <c r="AE24" i="82" s="1"/>
  <c r="AE27" i="82" s="1"/>
  <c r="AE13" i="83" s="1"/>
  <c r="O26" i="82"/>
  <c r="O12" i="83" s="1"/>
  <c r="O11" i="83" s="1"/>
  <c r="O6" i="83" s="1"/>
  <c r="O14" i="83" s="1"/>
  <c r="Q24" i="82"/>
  <c r="Q34" i="82" s="1"/>
  <c r="I25" i="82"/>
  <c r="I28" i="82" s="1"/>
  <c r="X27" i="82"/>
  <c r="X13" i="83" s="1"/>
  <c r="X26" i="82"/>
  <c r="X12" i="83" s="1"/>
  <c r="X31" i="82"/>
  <c r="X32" i="82" s="1"/>
  <c r="X34" i="82"/>
  <c r="AA34" i="82"/>
  <c r="AA30" i="82"/>
  <c r="Y4" i="83"/>
  <c r="Y24" i="82"/>
  <c r="Y26" i="82" s="1"/>
  <c r="Y12" i="83" s="1"/>
  <c r="Z24" i="82"/>
  <c r="Z31" i="82" s="1"/>
  <c r="Z4" i="83"/>
  <c r="W4" i="83"/>
  <c r="N32" i="82"/>
  <c r="J34" i="82"/>
  <c r="J26" i="82"/>
  <c r="J31" i="82"/>
  <c r="J27" i="82"/>
  <c r="J13" i="83" s="1"/>
  <c r="J30" i="82"/>
  <c r="I32" i="82"/>
  <c r="N25" i="82"/>
  <c r="N28" i="82" s="1"/>
  <c r="K27" i="82"/>
  <c r="K13" i="83" s="1"/>
  <c r="K11" i="83" s="1"/>
  <c r="K6" i="83" s="1"/>
  <c r="K14" i="83" s="1"/>
  <c r="K31" i="82"/>
  <c r="K34" i="82"/>
  <c r="W27" i="82"/>
  <c r="W13" i="83" s="1"/>
  <c r="W30" i="82"/>
  <c r="W26" i="82"/>
  <c r="W12" i="83" s="1"/>
  <c r="K30" i="82"/>
  <c r="W31" i="82"/>
  <c r="H25" i="82"/>
  <c r="H28" i="82" s="1"/>
  <c r="H12" i="83"/>
  <c r="H11" i="83" s="1"/>
  <c r="H6" i="83" s="1"/>
  <c r="H14" i="83" s="1"/>
  <c r="S24" i="82"/>
  <c r="S30" i="82" s="1"/>
  <c r="S4" i="83"/>
  <c r="U24" i="82"/>
  <c r="U27" i="82" s="1"/>
  <c r="U13" i="83" s="1"/>
  <c r="U4" i="83"/>
  <c r="AD24" i="82"/>
  <c r="AD30" i="82" s="1"/>
  <c r="AD4" i="83"/>
  <c r="AF22" i="82"/>
  <c r="T22" i="82"/>
  <c r="G27" i="82"/>
  <c r="G13" i="83" s="1"/>
  <c r="G34" i="82"/>
  <c r="G31" i="82"/>
  <c r="G26" i="82"/>
  <c r="G12" i="83" s="1"/>
  <c r="G30" i="82"/>
  <c r="AG8" i="82"/>
  <c r="L11" i="82"/>
  <c r="L12" i="82" s="1"/>
  <c r="L21" i="82" s="1"/>
  <c r="M11" i="82"/>
  <c r="M12" i="82" s="1"/>
  <c r="N10" i="65"/>
  <c r="O8" i="65"/>
  <c r="N9" i="65"/>
  <c r="C27" i="60"/>
  <c r="H17" i="60"/>
  <c r="J17" i="60" s="1"/>
  <c r="J16" i="29"/>
  <c r="G27" i="19"/>
  <c r="C26" i="19"/>
  <c r="C27" i="42"/>
  <c r="E53" i="54"/>
  <c r="C53" i="54" s="1"/>
  <c r="D54" i="54"/>
  <c r="W14" i="27"/>
  <c r="Y14" i="27" s="1"/>
  <c r="AA14" i="27" s="1"/>
  <c r="X15" i="27" s="1"/>
  <c r="G25" i="53"/>
  <c r="E25" i="53"/>
  <c r="C28" i="29"/>
  <c r="E27" i="29"/>
  <c r="O27" i="29"/>
  <c r="R27" i="29" s="1"/>
  <c r="D58" i="32"/>
  <c r="E57" i="32"/>
  <c r="C57" i="32" s="1"/>
  <c r="H15" i="59"/>
  <c r="H14" i="59"/>
  <c r="F35" i="59"/>
  <c r="F18" i="29"/>
  <c r="H17" i="29"/>
  <c r="I17" i="29"/>
  <c r="Q17" i="29"/>
  <c r="K25" i="55"/>
  <c r="E25" i="55" s="1"/>
  <c r="F25" i="55" s="1"/>
  <c r="K25" i="54"/>
  <c r="E25" i="54" s="1"/>
  <c r="F25" i="54" s="1"/>
  <c r="J25" i="32"/>
  <c r="C26" i="53"/>
  <c r="AH56" i="65"/>
  <c r="D57" i="65"/>
  <c r="AH131" i="65"/>
  <c r="D132" i="65"/>
  <c r="D169" i="65"/>
  <c r="AH168" i="65"/>
  <c r="D205" i="65"/>
  <c r="AH205" i="65" s="1"/>
  <c r="AH204" i="65"/>
  <c r="D94" i="65"/>
  <c r="AH93" i="65"/>
  <c r="R4" i="83" l="1"/>
  <c r="R24" i="82"/>
  <c r="R31" i="82" s="1"/>
  <c r="AB11" i="83"/>
  <c r="AB6" i="83" s="1"/>
  <c r="AB14" i="83" s="1"/>
  <c r="Z34" i="82"/>
  <c r="Q26" i="82"/>
  <c r="Q12" i="83" s="1"/>
  <c r="AE4" i="83"/>
  <c r="Y27" i="82"/>
  <c r="Y13" i="83" s="1"/>
  <c r="Y11" i="83" s="1"/>
  <c r="Y6" i="83" s="1"/>
  <c r="Y14" i="83" s="1"/>
  <c r="Q31" i="82"/>
  <c r="Q30" i="82"/>
  <c r="Z26" i="82"/>
  <c r="Z12" i="83" s="1"/>
  <c r="Z30" i="82"/>
  <c r="Z32" i="82" s="1"/>
  <c r="Q27" i="82"/>
  <c r="Q13" i="83" s="1"/>
  <c r="Q11" i="83" s="1"/>
  <c r="Q6" i="83" s="1"/>
  <c r="Q14" i="83" s="1"/>
  <c r="Z27" i="82"/>
  <c r="Z13" i="83" s="1"/>
  <c r="AA32" i="82"/>
  <c r="AC4" i="83"/>
  <c r="AB25" i="82"/>
  <c r="AB28" i="82" s="1"/>
  <c r="P12" i="83"/>
  <c r="P11" i="83" s="1"/>
  <c r="P6" i="83" s="1"/>
  <c r="P14" i="83" s="1"/>
  <c r="AA25" i="82"/>
  <c r="AA28" i="82" s="1"/>
  <c r="P32" i="82"/>
  <c r="O32" i="82"/>
  <c r="X25" i="82"/>
  <c r="X28" i="82" s="1"/>
  <c r="O25" i="82"/>
  <c r="O28" i="82" s="1"/>
  <c r="J32" i="82"/>
  <c r="X11" i="83"/>
  <c r="X6" i="83" s="1"/>
  <c r="X14" i="83" s="1"/>
  <c r="W32" i="82"/>
  <c r="Y34" i="82"/>
  <c r="K25" i="82"/>
  <c r="K28" i="82" s="1"/>
  <c r="M21" i="82"/>
  <c r="M22" i="82" s="1"/>
  <c r="Y31" i="82"/>
  <c r="Y30" i="82"/>
  <c r="K32" i="82"/>
  <c r="J12" i="83"/>
  <c r="J11" i="83" s="1"/>
  <c r="J6" i="83" s="1"/>
  <c r="J14" i="83" s="1"/>
  <c r="J25" i="82"/>
  <c r="J28" i="82" s="1"/>
  <c r="S26" i="82"/>
  <c r="S12" i="83" s="1"/>
  <c r="S34" i="82"/>
  <c r="W11" i="83"/>
  <c r="W6" i="83" s="1"/>
  <c r="W14" i="83" s="1"/>
  <c r="S31" i="82"/>
  <c r="S32" i="82" s="1"/>
  <c r="AE26" i="82"/>
  <c r="AE12" i="83" s="1"/>
  <c r="AE11" i="83" s="1"/>
  <c r="AE6" i="83" s="1"/>
  <c r="AE31" i="82"/>
  <c r="AE34" i="82"/>
  <c r="S27" i="82"/>
  <c r="S13" i="83" s="1"/>
  <c r="R27" i="82"/>
  <c r="R13" i="83" s="1"/>
  <c r="R30" i="82"/>
  <c r="R32" i="82" s="1"/>
  <c r="U26" i="82"/>
  <c r="U12" i="83" s="1"/>
  <c r="U11" i="83" s="1"/>
  <c r="U6" i="83" s="1"/>
  <c r="U14" i="83" s="1"/>
  <c r="U31" i="82"/>
  <c r="AD26" i="82"/>
  <c r="AD12" i="83" s="1"/>
  <c r="W25" i="82"/>
  <c r="W28" i="82" s="1"/>
  <c r="AD31" i="82"/>
  <c r="AD32" i="82" s="1"/>
  <c r="AE30" i="82"/>
  <c r="AF24" i="82"/>
  <c r="AF4" i="83"/>
  <c r="T24" i="82"/>
  <c r="T27" i="82" s="1"/>
  <c r="T13" i="83" s="1"/>
  <c r="T4" i="83"/>
  <c r="U34" i="82"/>
  <c r="AD34" i="82"/>
  <c r="AD27" i="82"/>
  <c r="AD13" i="83" s="1"/>
  <c r="U30" i="82"/>
  <c r="AC26" i="82"/>
  <c r="G32" i="82"/>
  <c r="AC31" i="82"/>
  <c r="AC32" i="82" s="1"/>
  <c r="AC34" i="82"/>
  <c r="AC27" i="82"/>
  <c r="AC13" i="83" s="1"/>
  <c r="G11" i="83"/>
  <c r="AG12" i="82"/>
  <c r="AG11" i="82"/>
  <c r="G25" i="82"/>
  <c r="H35" i="59"/>
  <c r="E26" i="53"/>
  <c r="G26" i="53"/>
  <c r="H18" i="60"/>
  <c r="J18" i="60" s="1"/>
  <c r="J17" i="29"/>
  <c r="D59" i="32"/>
  <c r="E58" i="32"/>
  <c r="C58" i="32" s="1"/>
  <c r="C29" i="29"/>
  <c r="E28" i="29"/>
  <c r="O28" i="29"/>
  <c r="R28" i="29" s="1"/>
  <c r="W15" i="27"/>
  <c r="Y15" i="27" s="1"/>
  <c r="AA15" i="27" s="1"/>
  <c r="X16" i="27" s="1"/>
  <c r="E54" i="54"/>
  <c r="C54" i="54" s="1"/>
  <c r="D55" i="54"/>
  <c r="G28" i="19"/>
  <c r="C27" i="19"/>
  <c r="C28" i="42"/>
  <c r="O9" i="65"/>
  <c r="P8" i="65"/>
  <c r="O10" i="65"/>
  <c r="F19" i="29"/>
  <c r="H18" i="29"/>
  <c r="I18" i="29"/>
  <c r="Q18" i="29"/>
  <c r="C28" i="60"/>
  <c r="K26" i="55"/>
  <c r="E26" i="55" s="1"/>
  <c r="F26" i="55" s="1"/>
  <c r="C27" i="53"/>
  <c r="J26" i="32"/>
  <c r="K26" i="54"/>
  <c r="E26" i="54" s="1"/>
  <c r="F26" i="54" s="1"/>
  <c r="D170" i="65"/>
  <c r="AH170" i="65" s="1"/>
  <c r="AH169" i="65"/>
  <c r="AH94" i="65"/>
  <c r="D95" i="65"/>
  <c r="AH132" i="65"/>
  <c r="D133" i="65"/>
  <c r="AH57" i="65"/>
  <c r="D58" i="65"/>
  <c r="R26" i="82" l="1"/>
  <c r="R12" i="83" s="1"/>
  <c r="R34" i="82"/>
  <c r="Y25" i="82"/>
  <c r="Y28" i="82" s="1"/>
  <c r="Q25" i="82"/>
  <c r="Q28" i="82" s="1"/>
  <c r="AE14" i="83"/>
  <c r="Q32" i="82"/>
  <c r="Z25" i="82"/>
  <c r="Z28" i="82" s="1"/>
  <c r="Z11" i="83"/>
  <c r="Z6" i="83" s="1"/>
  <c r="Z14" i="83" s="1"/>
  <c r="Y32" i="82"/>
  <c r="AE32" i="82"/>
  <c r="R11" i="83"/>
  <c r="R6" i="83" s="1"/>
  <c r="R14" i="83" s="1"/>
  <c r="M4" i="83"/>
  <c r="M24" i="82"/>
  <c r="M26" i="82" s="1"/>
  <c r="M12" i="83" s="1"/>
  <c r="T30" i="82"/>
  <c r="AE25" i="82"/>
  <c r="AE28" i="82" s="1"/>
  <c r="AD11" i="83"/>
  <c r="AD6" i="83" s="1"/>
  <c r="AD14" i="83" s="1"/>
  <c r="U32" i="82"/>
  <c r="U25" i="82"/>
  <c r="U28" i="82" s="1"/>
  <c r="S11" i="83"/>
  <c r="S6" i="83" s="1"/>
  <c r="S14" i="83" s="1"/>
  <c r="S25" i="82"/>
  <c r="S28" i="82" s="1"/>
  <c r="T31" i="82"/>
  <c r="T26" i="82"/>
  <c r="T12" i="83" s="1"/>
  <c r="T11" i="83" s="1"/>
  <c r="T6" i="83" s="1"/>
  <c r="T14" i="83" s="1"/>
  <c r="R25" i="82"/>
  <c r="R28" i="82" s="1"/>
  <c r="T34" i="82"/>
  <c r="AD25" i="82"/>
  <c r="AD28" i="82" s="1"/>
  <c r="AF34" i="82"/>
  <c r="AF31" i="82"/>
  <c r="AF26" i="82"/>
  <c r="AF30" i="82"/>
  <c r="AF27" i="82"/>
  <c r="AF13" i="83" s="1"/>
  <c r="AC25" i="82"/>
  <c r="AC28" i="82" s="1"/>
  <c r="AC12" i="83"/>
  <c r="AC11" i="83" s="1"/>
  <c r="AC6" i="83" s="1"/>
  <c r="AC14" i="83" s="1"/>
  <c r="G6" i="83"/>
  <c r="G28" i="82"/>
  <c r="L22" i="82"/>
  <c r="L4" i="83" s="1"/>
  <c r="AG21" i="82"/>
  <c r="H19" i="60"/>
  <c r="J19" i="60" s="1"/>
  <c r="J18" i="29"/>
  <c r="P10" i="65"/>
  <c r="Q8" i="65"/>
  <c r="P9" i="65"/>
  <c r="G29" i="19"/>
  <c r="C28" i="19"/>
  <c r="C29" i="42"/>
  <c r="W16" i="27"/>
  <c r="Y16" i="27" s="1"/>
  <c r="AA16" i="27" s="1"/>
  <c r="X17" i="27" s="1"/>
  <c r="C29" i="60"/>
  <c r="D60" i="32"/>
  <c r="E59" i="32"/>
  <c r="C59" i="32" s="1"/>
  <c r="G27" i="53"/>
  <c r="E27" i="53"/>
  <c r="F20" i="29"/>
  <c r="H19" i="29"/>
  <c r="I19" i="29"/>
  <c r="Q19" i="29"/>
  <c r="K27" i="55"/>
  <c r="E27" i="55" s="1"/>
  <c r="F27" i="55" s="1"/>
  <c r="C28" i="53"/>
  <c r="K27" i="54"/>
  <c r="E27" i="54" s="1"/>
  <c r="F27" i="54" s="1"/>
  <c r="J27" i="32"/>
  <c r="E55" i="54"/>
  <c r="C55" i="54" s="1"/>
  <c r="D56" i="54"/>
  <c r="C30" i="29"/>
  <c r="E29" i="29"/>
  <c r="O29" i="29"/>
  <c r="R29" i="29" s="1"/>
  <c r="AH133" i="65"/>
  <c r="D134" i="65"/>
  <c r="AH58" i="65"/>
  <c r="D59" i="65"/>
  <c r="D96" i="65"/>
  <c r="AH95" i="65"/>
  <c r="AG4" i="83" l="1"/>
  <c r="M34" i="82"/>
  <c r="M30" i="82"/>
  <c r="M31" i="82"/>
  <c r="M27" i="82"/>
  <c r="M13" i="83" s="1"/>
  <c r="M11" i="83" s="1"/>
  <c r="M6" i="83" s="1"/>
  <c r="M14" i="83" s="1"/>
  <c r="AF32" i="82"/>
  <c r="T32" i="82"/>
  <c r="T25" i="82"/>
  <c r="T28" i="82" s="1"/>
  <c r="G14" i="83"/>
  <c r="AF12" i="83"/>
  <c r="AF11" i="83" s="1"/>
  <c r="AF6" i="83" s="1"/>
  <c r="AF14" i="83" s="1"/>
  <c r="AF25" i="82"/>
  <c r="AF28" i="82" s="1"/>
  <c r="L24" i="82"/>
  <c r="AG22" i="82"/>
  <c r="W17" i="27"/>
  <c r="Y17" i="27" s="1"/>
  <c r="AA17" i="27" s="1"/>
  <c r="X18" i="27" s="1"/>
  <c r="E28" i="53"/>
  <c r="G28" i="53"/>
  <c r="H20" i="60"/>
  <c r="J20" i="60" s="1"/>
  <c r="J19" i="29"/>
  <c r="K28" i="55"/>
  <c r="E28" i="55" s="1"/>
  <c r="F28" i="55" s="1"/>
  <c r="J28" i="32"/>
  <c r="K28" i="54"/>
  <c r="E28" i="54" s="1"/>
  <c r="F28" i="54" s="1"/>
  <c r="C29" i="53"/>
  <c r="C30" i="60"/>
  <c r="E56" i="54"/>
  <c r="C56" i="54" s="1"/>
  <c r="D57" i="54"/>
  <c r="D61" i="32"/>
  <c r="E60" i="32"/>
  <c r="C60" i="32" s="1"/>
  <c r="C31" i="29"/>
  <c r="E30" i="29"/>
  <c r="O30" i="29"/>
  <c r="R30" i="29" s="1"/>
  <c r="F21" i="29"/>
  <c r="H20" i="29"/>
  <c r="Q20" i="29"/>
  <c r="I20" i="29"/>
  <c r="C29" i="19"/>
  <c r="G30" i="19"/>
  <c r="C30" i="42"/>
  <c r="Q9" i="65"/>
  <c r="R8" i="65"/>
  <c r="Q10" i="65"/>
  <c r="AH96" i="65"/>
  <c r="D97" i="65"/>
  <c r="D60" i="65"/>
  <c r="AH59" i="65"/>
  <c r="D135" i="65"/>
  <c r="AH134" i="65"/>
  <c r="M32" i="82" l="1"/>
  <c r="M25" i="82"/>
  <c r="M28" i="82" s="1"/>
  <c r="L30" i="82"/>
  <c r="L27" i="82"/>
  <c r="L34" i="82"/>
  <c r="B34" i="82" s="1"/>
  <c r="L31" i="82"/>
  <c r="L26" i="82"/>
  <c r="L12" i="83" s="1"/>
  <c r="AG24" i="82"/>
  <c r="W18" i="27"/>
  <c r="Y18" i="27" s="1"/>
  <c r="AA18" i="27" s="1"/>
  <c r="X19" i="27" s="1"/>
  <c r="G31" i="19"/>
  <c r="C30" i="19"/>
  <c r="C31" i="42"/>
  <c r="H21" i="60"/>
  <c r="J21" i="60" s="1"/>
  <c r="J20" i="29"/>
  <c r="C31" i="60"/>
  <c r="D62" i="32"/>
  <c r="E61" i="32"/>
  <c r="C61" i="32" s="1"/>
  <c r="R10" i="65"/>
  <c r="S8" i="65"/>
  <c r="R9" i="65"/>
  <c r="K29" i="55"/>
  <c r="E29" i="55" s="1"/>
  <c r="F29" i="55" s="1"/>
  <c r="J29" i="32"/>
  <c r="K29" i="54"/>
  <c r="E29" i="54" s="1"/>
  <c r="F29" i="54" s="1"/>
  <c r="C30" i="53"/>
  <c r="F22" i="29"/>
  <c r="H21" i="29"/>
  <c r="Q21" i="29"/>
  <c r="I21" i="29"/>
  <c r="C32" i="29"/>
  <c r="E31" i="29"/>
  <c r="O31" i="29"/>
  <c r="R31" i="29" s="1"/>
  <c r="E57" i="54"/>
  <c r="C57" i="54" s="1"/>
  <c r="D58" i="54"/>
  <c r="E29" i="53"/>
  <c r="G29" i="53"/>
  <c r="AH97" i="65"/>
  <c r="D98" i="65"/>
  <c r="D61" i="65"/>
  <c r="AH60" i="65"/>
  <c r="D136" i="65"/>
  <c r="AH136" i="65" s="1"/>
  <c r="AH135" i="65"/>
  <c r="AG12" i="83" l="1"/>
  <c r="AG27" i="82"/>
  <c r="L13" i="83"/>
  <c r="AG13" i="83" s="1"/>
  <c r="L25" i="82"/>
  <c r="AG26" i="82"/>
  <c r="L32" i="82"/>
  <c r="E58" i="54"/>
  <c r="C58" i="54" s="1"/>
  <c r="D59" i="54"/>
  <c r="C32" i="60"/>
  <c r="H22" i="60"/>
  <c r="J22" i="60" s="1"/>
  <c r="J21" i="29"/>
  <c r="E30" i="53"/>
  <c r="G30" i="53"/>
  <c r="D63" i="32"/>
  <c r="E62" i="32"/>
  <c r="C62" i="32" s="1"/>
  <c r="J30" i="32"/>
  <c r="K30" i="54"/>
  <c r="E30" i="54" s="1"/>
  <c r="F30" i="54" s="1"/>
  <c r="K30" i="55"/>
  <c r="E30" i="55" s="1"/>
  <c r="F30" i="55" s="1"/>
  <c r="C31" i="53"/>
  <c r="W19" i="27"/>
  <c r="Y19" i="27" s="1"/>
  <c r="AA19" i="27" s="1"/>
  <c r="X20" i="27" s="1"/>
  <c r="C33" i="29"/>
  <c r="E32" i="29"/>
  <c r="O32" i="29"/>
  <c r="R32" i="29" s="1"/>
  <c r="F23" i="29"/>
  <c r="H22" i="29"/>
  <c r="Q22" i="29"/>
  <c r="I22" i="29"/>
  <c r="S9" i="65"/>
  <c r="T8" i="65"/>
  <c r="S10" i="65"/>
  <c r="G32" i="19"/>
  <c r="C31" i="19"/>
  <c r="C32" i="42"/>
  <c r="AH98" i="65"/>
  <c r="D99" i="65"/>
  <c r="D62" i="65"/>
  <c r="AH61" i="65"/>
  <c r="L11" i="83" l="1"/>
  <c r="L28" i="82"/>
  <c r="AG28" i="82" s="1"/>
  <c r="AG25" i="82"/>
  <c r="W20" i="27"/>
  <c r="Y20" i="27" s="1"/>
  <c r="AA20" i="27" s="1"/>
  <c r="X21" i="27" s="1"/>
  <c r="C32" i="19"/>
  <c r="G33" i="19"/>
  <c r="C33" i="42"/>
  <c r="T10" i="65"/>
  <c r="U8" i="65"/>
  <c r="T9" i="65"/>
  <c r="F24" i="29"/>
  <c r="H23" i="29"/>
  <c r="Q23" i="29"/>
  <c r="I23" i="29"/>
  <c r="C33" i="60"/>
  <c r="D64" i="32"/>
  <c r="E63" i="32"/>
  <c r="C63" i="32" s="1"/>
  <c r="E59" i="54"/>
  <c r="C59" i="54" s="1"/>
  <c r="D60" i="54"/>
  <c r="J31" i="32"/>
  <c r="K31" i="55"/>
  <c r="E31" i="55" s="1"/>
  <c r="F31" i="55" s="1"/>
  <c r="K31" i="54"/>
  <c r="E31" i="54" s="1"/>
  <c r="F31" i="54" s="1"/>
  <c r="C32" i="53"/>
  <c r="H23" i="60"/>
  <c r="J23" i="60" s="1"/>
  <c r="J22" i="29"/>
  <c r="E33" i="29"/>
  <c r="O33" i="29"/>
  <c r="R33" i="29" s="1"/>
  <c r="R34" i="29" s="1"/>
  <c r="E31" i="53"/>
  <c r="G31" i="53"/>
  <c r="D63" i="65"/>
  <c r="AH62" i="65"/>
  <c r="AH99" i="65"/>
  <c r="D100" i="65"/>
  <c r="L6" i="83" l="1"/>
  <c r="AG11" i="83"/>
  <c r="C34" i="60"/>
  <c r="E35" i="29"/>
  <c r="D65" i="32"/>
  <c r="E64" i="32"/>
  <c r="C64" i="32" s="1"/>
  <c r="H24" i="60"/>
  <c r="J24" i="60" s="1"/>
  <c r="J23" i="29"/>
  <c r="C33" i="19"/>
  <c r="C34" i="42"/>
  <c r="W21" i="27"/>
  <c r="Y21" i="27" s="1"/>
  <c r="AA21" i="27" s="1"/>
  <c r="X22" i="27" s="1"/>
  <c r="E32" i="53"/>
  <c r="G32" i="53"/>
  <c r="E60" i="54"/>
  <c r="C60" i="54" s="1"/>
  <c r="D61" i="54"/>
  <c r="F25" i="29"/>
  <c r="H24" i="29"/>
  <c r="Q24" i="29"/>
  <c r="I24" i="29"/>
  <c r="U9" i="65"/>
  <c r="V8" i="65"/>
  <c r="U10" i="65"/>
  <c r="K32" i="55"/>
  <c r="E32" i="55" s="1"/>
  <c r="F32" i="55" s="1"/>
  <c r="C33" i="53"/>
  <c r="K32" i="54"/>
  <c r="E32" i="54" s="1"/>
  <c r="F32" i="54" s="1"/>
  <c r="J32" i="32"/>
  <c r="D101" i="65"/>
  <c r="AH100" i="65"/>
  <c r="AH63" i="65"/>
  <c r="D64" i="65"/>
  <c r="L14" i="83" l="1"/>
  <c r="AG6" i="83"/>
  <c r="W22" i="27"/>
  <c r="Y22" i="27" s="1"/>
  <c r="AA22" i="27" s="1"/>
  <c r="X23" i="27" s="1"/>
  <c r="E33" i="53"/>
  <c r="G33" i="53"/>
  <c r="F26" i="29"/>
  <c r="H25" i="29"/>
  <c r="Q25" i="29"/>
  <c r="I25" i="29"/>
  <c r="V10" i="65"/>
  <c r="W8" i="65"/>
  <c r="V9" i="65"/>
  <c r="H25" i="60"/>
  <c r="J25" i="60" s="1"/>
  <c r="J24" i="29"/>
  <c r="E61" i="54"/>
  <c r="C61" i="54" s="1"/>
  <c r="D62" i="54"/>
  <c r="K33" i="55"/>
  <c r="E33" i="55" s="1"/>
  <c r="F33" i="55" s="1"/>
  <c r="F35" i="55" s="1"/>
  <c r="J33" i="32"/>
  <c r="K33" i="54"/>
  <c r="E33" i="54" s="1"/>
  <c r="F33" i="54" s="1"/>
  <c r="F35" i="54" s="1"/>
  <c r="C34" i="53"/>
  <c r="D66" i="32"/>
  <c r="E65" i="32"/>
  <c r="C65" i="32" s="1"/>
  <c r="C35" i="60"/>
  <c r="AH64" i="65"/>
  <c r="D65" i="65"/>
  <c r="AH101" i="65"/>
  <c r="D102" i="65"/>
  <c r="C15" i="83" l="1"/>
  <c r="AG14" i="83"/>
  <c r="G34" i="53"/>
  <c r="E34" i="53"/>
  <c r="E62" i="54"/>
  <c r="C62" i="54" s="1"/>
  <c r="D63" i="54"/>
  <c r="F27" i="29"/>
  <c r="H26" i="29"/>
  <c r="Q26" i="29"/>
  <c r="I26" i="29"/>
  <c r="W23" i="27"/>
  <c r="Y23" i="27" s="1"/>
  <c r="AA23" i="27" s="1"/>
  <c r="X24" i="27" s="1"/>
  <c r="D67" i="32"/>
  <c r="E66" i="32"/>
  <c r="C66" i="32" s="1"/>
  <c r="W9" i="65"/>
  <c r="X8" i="65"/>
  <c r="W10" i="65"/>
  <c r="H26" i="60"/>
  <c r="J26" i="60" s="1"/>
  <c r="J25" i="29"/>
  <c r="AH102" i="65"/>
  <c r="D103" i="65"/>
  <c r="AH65" i="65"/>
  <c r="D66" i="65"/>
  <c r="X10" i="65" l="1"/>
  <c r="Y8" i="65"/>
  <c r="X9" i="65"/>
  <c r="W24" i="27"/>
  <c r="Y24" i="27" s="1"/>
  <c r="AA24" i="27" s="1"/>
  <c r="X25" i="27" s="1"/>
  <c r="F28" i="29"/>
  <c r="H27" i="29"/>
  <c r="Q27" i="29"/>
  <c r="I27" i="29"/>
  <c r="D68" i="32"/>
  <c r="E67" i="32"/>
  <c r="C67" i="32" s="1"/>
  <c r="H27" i="60"/>
  <c r="J27" i="60" s="1"/>
  <c r="J26" i="29"/>
  <c r="E63" i="54"/>
  <c r="C63" i="54" s="1"/>
  <c r="D64" i="54"/>
  <c r="AH66" i="65"/>
  <c r="D67" i="65"/>
  <c r="D104" i="65"/>
  <c r="AH104" i="65" s="1"/>
  <c r="AH103" i="65"/>
  <c r="W25" i="27" l="1"/>
  <c r="Y25" i="27" s="1"/>
  <c r="AA25" i="27" s="1"/>
  <c r="X26" i="27" s="1"/>
  <c r="D69" i="32"/>
  <c r="E68" i="32"/>
  <c r="C68" i="32" s="1"/>
  <c r="F29" i="29"/>
  <c r="H28" i="29"/>
  <c r="Q28" i="29"/>
  <c r="I28" i="29"/>
  <c r="Y9" i="65"/>
  <c r="Z8" i="65"/>
  <c r="Y10" i="65"/>
  <c r="E64" i="54"/>
  <c r="C64" i="54" s="1"/>
  <c r="D65" i="54"/>
  <c r="H28" i="60"/>
  <c r="J28" i="60" s="1"/>
  <c r="J27" i="29"/>
  <c r="D68" i="65"/>
  <c r="AH67" i="65"/>
  <c r="W26" i="27" l="1"/>
  <c r="Y26" i="27" s="1"/>
  <c r="AA26" i="27" s="1"/>
  <c r="X27" i="27" s="1"/>
  <c r="Z10" i="65"/>
  <c r="AA8" i="65"/>
  <c r="Z9" i="65"/>
  <c r="H29" i="60"/>
  <c r="J29" i="60" s="1"/>
  <c r="J28" i="29"/>
  <c r="E65" i="54"/>
  <c r="C65" i="54" s="1"/>
  <c r="D66" i="54"/>
  <c r="F30" i="29"/>
  <c r="H29" i="29"/>
  <c r="Q29" i="29"/>
  <c r="I29" i="29"/>
  <c r="D70" i="32"/>
  <c r="E69" i="32"/>
  <c r="C69" i="32" s="1"/>
  <c r="D69" i="65"/>
  <c r="AH68" i="65"/>
  <c r="D71" i="32" l="1"/>
  <c r="E70" i="32"/>
  <c r="C70" i="32" s="1"/>
  <c r="F31" i="29"/>
  <c r="H30" i="29"/>
  <c r="Q30" i="29"/>
  <c r="I30" i="29"/>
  <c r="AA9" i="65"/>
  <c r="AB8" i="65"/>
  <c r="AA10" i="65"/>
  <c r="W27" i="27"/>
  <c r="Y27" i="27" s="1"/>
  <c r="AA27" i="27" s="1"/>
  <c r="X28" i="27" s="1"/>
  <c r="H30" i="60"/>
  <c r="J30" i="60" s="1"/>
  <c r="J29" i="29"/>
  <c r="E66" i="54"/>
  <c r="C66" i="54" s="1"/>
  <c r="D67" i="54"/>
  <c r="D70" i="65"/>
  <c r="AH69" i="65"/>
  <c r="W28" i="27" l="1"/>
  <c r="Y28" i="27" s="1"/>
  <c r="AA28" i="27" s="1"/>
  <c r="X29" i="27" s="1"/>
  <c r="AB10" i="65"/>
  <c r="AC8" i="65"/>
  <c r="AB9" i="65"/>
  <c r="H31" i="60"/>
  <c r="J31" i="60" s="1"/>
  <c r="J30" i="29"/>
  <c r="E67" i="54"/>
  <c r="C67" i="54" s="1"/>
  <c r="D68" i="54"/>
  <c r="F32" i="29"/>
  <c r="H31" i="29"/>
  <c r="Q31" i="29"/>
  <c r="I31" i="29"/>
  <c r="D72" i="32"/>
  <c r="E71" i="32"/>
  <c r="C71" i="32" s="1"/>
  <c r="AH70" i="65"/>
  <c r="D71" i="65"/>
  <c r="W29" i="27" l="1"/>
  <c r="Y29" i="27" s="1"/>
  <c r="AA29" i="27" s="1"/>
  <c r="X30" i="27" s="1"/>
  <c r="H32" i="60"/>
  <c r="J32" i="60" s="1"/>
  <c r="J31" i="29"/>
  <c r="E68" i="54"/>
  <c r="C68" i="54" s="1"/>
  <c r="D69" i="54"/>
  <c r="D73" i="32"/>
  <c r="E72" i="32"/>
  <c r="C72" i="32" s="1"/>
  <c r="F33" i="29"/>
  <c r="H32" i="29"/>
  <c r="Q32" i="29"/>
  <c r="I32" i="29"/>
  <c r="AC9" i="65"/>
  <c r="AD8" i="65"/>
  <c r="AC10" i="65"/>
  <c r="AH71" i="65"/>
  <c r="D72" i="65"/>
  <c r="AH72" i="65" s="1"/>
  <c r="I72" i="67"/>
  <c r="I62" i="67" s="1"/>
  <c r="I85" i="67" s="1"/>
  <c r="K86" i="67" s="1"/>
  <c r="W30" i="27" l="1"/>
  <c r="Y30" i="27" s="1"/>
  <c r="AA30" i="27" s="1"/>
  <c r="X31" i="27" s="1"/>
  <c r="AD10" i="65"/>
  <c r="AE8" i="65"/>
  <c r="AD9" i="65"/>
  <c r="H33" i="60"/>
  <c r="J33" i="60" s="1"/>
  <c r="J32" i="29"/>
  <c r="E69" i="54"/>
  <c r="C69" i="54" s="1"/>
  <c r="D70" i="54"/>
  <c r="H33" i="29"/>
  <c r="Q33" i="29"/>
  <c r="I33" i="29"/>
  <c r="D74" i="32"/>
  <c r="E73" i="32"/>
  <c r="C73" i="32" s="1"/>
  <c r="H34" i="60" l="1"/>
  <c r="H35" i="29"/>
  <c r="J35" i="29" s="1"/>
  <c r="J42" i="29" s="1"/>
  <c r="J43" i="29" s="1"/>
  <c r="J33" i="29"/>
  <c r="J34" i="29" s="1"/>
  <c r="AE9" i="65"/>
  <c r="AF8" i="65"/>
  <c r="AE10" i="65"/>
  <c r="W31" i="27"/>
  <c r="Y31" i="27" s="1"/>
  <c r="AA31" i="27" s="1"/>
  <c r="X32" i="27" s="1"/>
  <c r="D75" i="32"/>
  <c r="E75" i="32" s="1"/>
  <c r="C75" i="32" s="1"/>
  <c r="E74" i="32"/>
  <c r="C74" i="32" s="1"/>
  <c r="E70" i="54"/>
  <c r="C70" i="54" s="1"/>
  <c r="D71" i="54"/>
  <c r="E71" i="54" s="1"/>
  <c r="C71" i="54" s="1"/>
  <c r="C77" i="32" l="1"/>
  <c r="C4" i="32" s="1"/>
  <c r="C5" i="32" s="1"/>
  <c r="W32" i="27"/>
  <c r="Y32" i="27" s="1"/>
  <c r="AA32" i="27" s="1"/>
  <c r="X33" i="27" s="1"/>
  <c r="C73" i="54"/>
  <c r="E4" i="32"/>
  <c r="F4" i="32" s="1"/>
  <c r="AF10" i="65"/>
  <c r="AG8" i="65"/>
  <c r="AF9" i="65"/>
  <c r="J34" i="60"/>
  <c r="J35" i="60" s="1"/>
  <c r="H35" i="60"/>
  <c r="D39" i="60" s="1"/>
  <c r="C6" i="32" l="1"/>
  <c r="E5" i="32"/>
  <c r="F5" i="32" s="1"/>
  <c r="E6" i="60" s="1"/>
  <c r="W33" i="27"/>
  <c r="Y33" i="27" s="1"/>
  <c r="AA33" i="27" s="1"/>
  <c r="AG9" i="65"/>
  <c r="AH9" i="65" s="1"/>
  <c r="AG10" i="65"/>
  <c r="AH10" i="65" s="1"/>
  <c r="K5" i="60" s="1"/>
  <c r="E5" i="60"/>
  <c r="G6" i="60" l="1"/>
  <c r="G5" i="60"/>
  <c r="C7" i="32"/>
  <c r="E6" i="32"/>
  <c r="F6" i="32" s="1"/>
  <c r="C8" i="32" l="1"/>
  <c r="E7" i="32"/>
  <c r="F7" i="32" s="1"/>
  <c r="E8" i="60" s="1"/>
  <c r="E7" i="60"/>
  <c r="G8" i="60" l="1"/>
  <c r="G7" i="60"/>
  <c r="C9" i="32"/>
  <c r="E8" i="32"/>
  <c r="F8" i="32" s="1"/>
  <c r="E9" i="60" s="1"/>
  <c r="G9" i="60" l="1"/>
  <c r="C10" i="32"/>
  <c r="E9" i="32"/>
  <c r="F9" i="32" s="1"/>
  <c r="E10" i="60" s="1"/>
  <c r="C11" i="32" l="1"/>
  <c r="E10" i="32"/>
  <c r="F10" i="32" s="1"/>
  <c r="E11" i="60" s="1"/>
  <c r="G10" i="60"/>
  <c r="G11" i="60" l="1"/>
  <c r="C12" i="32"/>
  <c r="E11" i="32"/>
  <c r="F11" i="32" s="1"/>
  <c r="E12" i="60" s="1"/>
  <c r="G12" i="60" l="1"/>
  <c r="C13" i="32"/>
  <c r="E12" i="32"/>
  <c r="F12" i="32" s="1"/>
  <c r="E13" i="60" s="1"/>
  <c r="G13" i="60" l="1"/>
  <c r="C14" i="32"/>
  <c r="E13" i="32"/>
  <c r="F13" i="32" s="1"/>
  <c r="E14" i="60" s="1"/>
  <c r="G14" i="60" l="1"/>
  <c r="C15" i="32"/>
  <c r="E14" i="32"/>
  <c r="F14" i="32" s="1"/>
  <c r="E15" i="60" s="1"/>
  <c r="G15" i="60" l="1"/>
  <c r="C16" i="32"/>
  <c r="E15" i="32"/>
  <c r="F15" i="32" s="1"/>
  <c r="E16" i="60" s="1"/>
  <c r="G16" i="60" l="1"/>
  <c r="C17" i="32"/>
  <c r="E16" i="32"/>
  <c r="F16" i="32" s="1"/>
  <c r="E17" i="60" s="1"/>
  <c r="G17" i="60" l="1"/>
  <c r="C18" i="32"/>
  <c r="E17" i="32"/>
  <c r="F17" i="32" s="1"/>
  <c r="E18" i="60" s="1"/>
  <c r="G18" i="60" l="1"/>
  <c r="C19" i="32"/>
  <c r="E18" i="32"/>
  <c r="F18" i="32" s="1"/>
  <c r="E19" i="60" s="1"/>
  <c r="G19" i="60" l="1"/>
  <c r="C20" i="32"/>
  <c r="E19" i="32"/>
  <c r="F19" i="32" s="1"/>
  <c r="E20" i="60" s="1"/>
  <c r="G20" i="60" l="1"/>
  <c r="C21" i="32"/>
  <c r="E20" i="32"/>
  <c r="F20" i="32" s="1"/>
  <c r="E21" i="60" s="1"/>
  <c r="G21" i="60" l="1"/>
  <c r="C22" i="32"/>
  <c r="E21" i="32"/>
  <c r="F21" i="32" s="1"/>
  <c r="E22" i="60" s="1"/>
  <c r="G22" i="60" l="1"/>
  <c r="C23" i="32"/>
  <c r="E22" i="32"/>
  <c r="F22" i="32" s="1"/>
  <c r="E23" i="60" s="1"/>
  <c r="G23" i="60" l="1"/>
  <c r="C24" i="32"/>
  <c r="E23" i="32"/>
  <c r="F23" i="32" s="1"/>
  <c r="E24" i="60" s="1"/>
  <c r="G24" i="60" l="1"/>
  <c r="C25" i="32"/>
  <c r="E24" i="32"/>
  <c r="F24" i="32" s="1"/>
  <c r="E25" i="60" s="1"/>
  <c r="G25" i="60" l="1"/>
  <c r="C26" i="32"/>
  <c r="E25" i="32"/>
  <c r="F25" i="32" s="1"/>
  <c r="E26" i="60" s="1"/>
  <c r="G26" i="60" l="1"/>
  <c r="C27" i="32"/>
  <c r="E26" i="32"/>
  <c r="F26" i="32" s="1"/>
  <c r="E27" i="60" s="1"/>
  <c r="G27" i="60" l="1"/>
  <c r="C28" i="32"/>
  <c r="E27" i="32"/>
  <c r="F27" i="32" s="1"/>
  <c r="E28" i="60" s="1"/>
  <c r="G28" i="60" l="1"/>
  <c r="C29" i="32"/>
  <c r="E28" i="32"/>
  <c r="F28" i="32" s="1"/>
  <c r="E29" i="60" s="1"/>
  <c r="G29" i="60" l="1"/>
  <c r="C30" i="32"/>
  <c r="E29" i="32"/>
  <c r="F29" i="32" s="1"/>
  <c r="E30" i="60" s="1"/>
  <c r="G30" i="60" l="1"/>
  <c r="C31" i="32"/>
  <c r="E30" i="32"/>
  <c r="F30" i="32" s="1"/>
  <c r="E31" i="60" s="1"/>
  <c r="G31" i="60" l="1"/>
  <c r="C32" i="32"/>
  <c r="E31" i="32"/>
  <c r="F31" i="32" s="1"/>
  <c r="E32" i="60" s="1"/>
  <c r="G32" i="60" l="1"/>
  <c r="C33" i="32"/>
  <c r="E33" i="32" s="1"/>
  <c r="F33" i="32" s="1"/>
  <c r="E32" i="32"/>
  <c r="F32" i="32" s="1"/>
  <c r="E33" i="60" s="1"/>
  <c r="G33" i="60" l="1"/>
  <c r="E34" i="60"/>
  <c r="F35" i="32"/>
  <c r="G34" i="60" l="1"/>
  <c r="G35" i="60" s="1"/>
  <c r="J43" i="60" s="1"/>
  <c r="E35" i="60"/>
  <c r="D41" i="60" s="1"/>
  <c r="D43" i="60" l="1"/>
  <c r="E42" i="60" l="1"/>
  <c r="E40" i="60"/>
  <c r="E39" i="60"/>
  <c r="E41" i="60"/>
  <c r="E7" i="65" l="1"/>
  <c r="E4" i="65" l="1"/>
  <c r="E12" i="65"/>
  <c r="E13" i="65" l="1"/>
  <c r="E14" i="65" l="1"/>
  <c r="E15" i="65" l="1"/>
  <c r="E16" i="65" l="1"/>
  <c r="E17" i="65" l="1"/>
  <c r="E18" i="65" l="1"/>
  <c r="E19" i="65" l="1"/>
  <c r="E20" i="65" l="1"/>
  <c r="E21" i="65" l="1"/>
  <c r="E22" i="65" l="1"/>
  <c r="E23" i="65" l="1"/>
  <c r="E24" i="65" l="1"/>
  <c r="E25" i="65" l="1"/>
  <c r="E26" i="65" l="1"/>
  <c r="E27" i="65" l="1"/>
  <c r="E28" i="65" l="1"/>
  <c r="E29" i="65" l="1"/>
  <c r="E30" i="65" l="1"/>
  <c r="E31" i="65" l="1"/>
  <c r="E32" i="65" l="1"/>
  <c r="E33" i="65" l="1"/>
  <c r="E34" i="65" l="1"/>
  <c r="E35" i="65" l="1"/>
  <c r="E36" i="65" l="1"/>
  <c r="E37" i="65" l="1"/>
  <c r="E38" i="65" l="1"/>
  <c r="E39" i="65" l="1"/>
  <c r="E40" i="65" l="1"/>
  <c r="F7" i="65" l="1"/>
  <c r="F4" i="65" l="1"/>
  <c r="F13" i="65"/>
  <c r="F14" i="65" l="1"/>
  <c r="F15" i="65" l="1"/>
  <c r="F16" i="65" l="1"/>
  <c r="F17" i="65" l="1"/>
  <c r="F18" i="65" l="1"/>
  <c r="F19" i="65" l="1"/>
  <c r="F20" i="65" l="1"/>
  <c r="F21" i="65" l="1"/>
  <c r="F22" i="65" l="1"/>
  <c r="F23" i="65" l="1"/>
  <c r="F24" i="65" l="1"/>
  <c r="F25" i="65" l="1"/>
  <c r="F26" i="65" l="1"/>
  <c r="F27" i="65" l="1"/>
  <c r="F28" i="65" l="1"/>
  <c r="F29" i="65" l="1"/>
  <c r="F30" i="65" l="1"/>
  <c r="F31" i="65" l="1"/>
  <c r="F32" i="65" l="1"/>
  <c r="F33" i="65" l="1"/>
  <c r="F34" i="65" l="1"/>
  <c r="F35" i="65" l="1"/>
  <c r="F36" i="65" l="1"/>
  <c r="F37" i="65" l="1"/>
  <c r="F38" i="65" l="1"/>
  <c r="F39" i="65" l="1"/>
  <c r="F40" i="65" l="1"/>
  <c r="H7" i="65" l="1"/>
  <c r="H4" i="65" l="1"/>
  <c r="H15" i="65"/>
  <c r="H16" i="65" l="1"/>
  <c r="H17" i="65" l="1"/>
  <c r="H18" i="65" l="1"/>
  <c r="H19" i="65" l="1"/>
  <c r="H20" i="65" l="1"/>
  <c r="H21" i="65" l="1"/>
  <c r="H22" i="65" l="1"/>
  <c r="H23" i="65" l="1"/>
  <c r="H24" i="65" l="1"/>
  <c r="H25" i="65" l="1"/>
  <c r="H26" i="65" l="1"/>
  <c r="H27" i="65" l="1"/>
  <c r="H28" i="65" l="1"/>
  <c r="H29" i="65" l="1"/>
  <c r="H30" i="65" l="1"/>
  <c r="H31" i="65" l="1"/>
  <c r="H32" i="65" l="1"/>
  <c r="H33" i="65" l="1"/>
  <c r="H34" i="65" l="1"/>
  <c r="H35" i="65" l="1"/>
  <c r="H36" i="65" l="1"/>
  <c r="H37" i="65" l="1"/>
  <c r="H38" i="65" l="1"/>
  <c r="H39" i="65" l="1"/>
  <c r="H40" i="65" l="1"/>
  <c r="I7" i="65" l="1"/>
  <c r="I16" i="65" l="1"/>
  <c r="I4" i="65"/>
  <c r="I17" i="65" l="1"/>
  <c r="I18" i="65" l="1"/>
  <c r="I19" i="65" l="1"/>
  <c r="I20" i="65" l="1"/>
  <c r="I21" i="65" l="1"/>
  <c r="I22" i="65" l="1"/>
  <c r="I23" i="65" l="1"/>
  <c r="I24" i="65" l="1"/>
  <c r="I25" i="65" l="1"/>
  <c r="I26" i="65" l="1"/>
  <c r="I27" i="65" l="1"/>
  <c r="I28" i="65" l="1"/>
  <c r="I29" i="65" l="1"/>
  <c r="I30" i="65" l="1"/>
  <c r="I31" i="65" l="1"/>
  <c r="I32" i="65" l="1"/>
  <c r="I33" i="65" l="1"/>
  <c r="I34" i="65" l="1"/>
  <c r="I35" i="65" l="1"/>
  <c r="I36" i="65" l="1"/>
  <c r="I37" i="65" l="1"/>
  <c r="I38" i="65" l="1"/>
  <c r="I39" i="65" l="1"/>
  <c r="I40" i="65" l="1"/>
  <c r="J7" i="65" l="1"/>
  <c r="J17" i="65" l="1"/>
  <c r="J18" i="65" s="1"/>
  <c r="J4" i="65"/>
  <c r="J19" i="65" l="1"/>
  <c r="J20" i="65" l="1"/>
  <c r="J21" i="65" l="1"/>
  <c r="J22" i="65" l="1"/>
  <c r="J23" i="65" l="1"/>
  <c r="J24" i="65" l="1"/>
  <c r="J25" i="65" l="1"/>
  <c r="J26" i="65" l="1"/>
  <c r="J27" i="65" l="1"/>
  <c r="J28" i="65" l="1"/>
  <c r="J29" i="65" l="1"/>
  <c r="J30" i="65" l="1"/>
  <c r="J31" i="65" l="1"/>
  <c r="J32" i="65" l="1"/>
  <c r="J33" i="65" l="1"/>
  <c r="J34" i="65" l="1"/>
  <c r="J35" i="65" l="1"/>
  <c r="J36" i="65" l="1"/>
  <c r="J37" i="65" l="1"/>
  <c r="J38" i="65" l="1"/>
  <c r="J39" i="65" l="1"/>
  <c r="J40" i="65" l="1"/>
  <c r="K7" i="65" l="1"/>
  <c r="K4" i="65" l="1"/>
  <c r="K18" i="65"/>
  <c r="K19" i="65" l="1"/>
  <c r="K20" i="65" l="1"/>
  <c r="K21" i="65" l="1"/>
  <c r="K22" i="65" l="1"/>
  <c r="K23" i="65" l="1"/>
  <c r="K24" i="65" l="1"/>
  <c r="K25" i="65" l="1"/>
  <c r="K26" i="65" l="1"/>
  <c r="K27" i="65" l="1"/>
  <c r="K28" i="65" l="1"/>
  <c r="K29" i="65" l="1"/>
  <c r="K30" i="65" l="1"/>
  <c r="K31" i="65" l="1"/>
  <c r="K32" i="65" l="1"/>
  <c r="K33" i="65" l="1"/>
  <c r="K34" i="65" l="1"/>
  <c r="K35" i="65" l="1"/>
  <c r="K36" i="65" l="1"/>
  <c r="K37" i="65" l="1"/>
  <c r="K38" i="65" l="1"/>
  <c r="K39" i="65" l="1"/>
  <c r="K40" i="65" l="1"/>
  <c r="L7" i="65" l="1"/>
  <c r="L4" i="65" s="1"/>
  <c r="L19" i="65" l="1"/>
  <c r="L20" i="65" s="1"/>
  <c r="L21" i="65" l="1"/>
  <c r="L22" i="65" l="1"/>
  <c r="L23" i="65" l="1"/>
  <c r="L24" i="65" l="1"/>
  <c r="L25" i="65" l="1"/>
  <c r="L26" i="65" l="1"/>
  <c r="L27" i="65" l="1"/>
  <c r="L28" i="65" l="1"/>
  <c r="L29" i="65" l="1"/>
  <c r="L30" i="65" l="1"/>
  <c r="L31" i="65" l="1"/>
  <c r="L32" i="65" l="1"/>
  <c r="L33" i="65" l="1"/>
  <c r="L34" i="65" l="1"/>
  <c r="L35" i="65" l="1"/>
  <c r="L36" i="65" l="1"/>
  <c r="L37" i="65" l="1"/>
  <c r="L38" i="65" l="1"/>
  <c r="L39" i="65" l="1"/>
  <c r="L40" i="65" l="1"/>
  <c r="M7" i="65" l="1"/>
  <c r="M4" i="65" l="1"/>
  <c r="M20" i="65"/>
  <c r="M21" i="65" l="1"/>
  <c r="M22" i="65" l="1"/>
  <c r="M23" i="65" l="1"/>
  <c r="M24" i="65" l="1"/>
  <c r="M25" i="65" l="1"/>
  <c r="M26" i="65" l="1"/>
  <c r="M27" i="65" l="1"/>
  <c r="M28" i="65" l="1"/>
  <c r="M29" i="65" l="1"/>
  <c r="M30" i="65" l="1"/>
  <c r="M31" i="65" l="1"/>
  <c r="M32" i="65" l="1"/>
  <c r="M33" i="65" l="1"/>
  <c r="M34" i="65" l="1"/>
  <c r="M35" i="65" l="1"/>
  <c r="M36" i="65" l="1"/>
  <c r="M37" i="65" l="1"/>
  <c r="M38" i="65" l="1"/>
  <c r="M39" i="65" l="1"/>
  <c r="M40" i="65" l="1"/>
  <c r="N7" i="65" l="1"/>
  <c r="N4" i="65" l="1"/>
  <c r="N21" i="65"/>
  <c r="N22" i="65" l="1"/>
  <c r="N23" i="65" l="1"/>
  <c r="N24" i="65" l="1"/>
  <c r="N25" i="65" l="1"/>
  <c r="N26" i="65" l="1"/>
  <c r="N27" i="65" l="1"/>
  <c r="N28" i="65" l="1"/>
  <c r="N29" i="65" l="1"/>
  <c r="N30" i="65" l="1"/>
  <c r="N31" i="65" l="1"/>
  <c r="N32" i="65" l="1"/>
  <c r="N33" i="65" l="1"/>
  <c r="N34" i="65" l="1"/>
  <c r="N35" i="65" l="1"/>
  <c r="N36" i="65" l="1"/>
  <c r="N37" i="65" l="1"/>
  <c r="N38" i="65" l="1"/>
  <c r="N39" i="65" l="1"/>
  <c r="N40" i="65" l="1"/>
  <c r="O7" i="65" l="1"/>
  <c r="O4" i="65" l="1"/>
  <c r="O22" i="65"/>
  <c r="O23" i="65" l="1"/>
  <c r="O24" i="65" l="1"/>
  <c r="O25" i="65" l="1"/>
  <c r="O26" i="65" l="1"/>
  <c r="O27" i="65" l="1"/>
  <c r="O28" i="65" l="1"/>
  <c r="O29" i="65" l="1"/>
  <c r="O30" i="65" l="1"/>
  <c r="O31" i="65" l="1"/>
  <c r="O32" i="65" l="1"/>
  <c r="O33" i="65" l="1"/>
  <c r="O34" i="65" l="1"/>
  <c r="O35" i="65" l="1"/>
  <c r="O36" i="65" l="1"/>
  <c r="O37" i="65" l="1"/>
  <c r="O38" i="65" l="1"/>
  <c r="O39" i="65" l="1"/>
  <c r="O40" i="65" l="1"/>
  <c r="P7" i="65" l="1"/>
  <c r="P4" i="65" l="1"/>
  <c r="P23" i="65"/>
  <c r="P24" i="65" l="1"/>
  <c r="P25" i="65" l="1"/>
  <c r="P26" i="65" l="1"/>
  <c r="P27" i="65" l="1"/>
  <c r="P28" i="65" l="1"/>
  <c r="P29" i="65" l="1"/>
  <c r="P30" i="65" l="1"/>
  <c r="P31" i="65" l="1"/>
  <c r="P32" i="65" l="1"/>
  <c r="P33" i="65" l="1"/>
  <c r="P34" i="65" l="1"/>
  <c r="P35" i="65" l="1"/>
  <c r="P36" i="65" l="1"/>
  <c r="P37" i="65" l="1"/>
  <c r="P38" i="65" l="1"/>
  <c r="P39" i="65" l="1"/>
  <c r="P40" i="65" l="1"/>
  <c r="Q7" i="65" l="1"/>
  <c r="Q4" i="65" l="1"/>
  <c r="Q24" i="65"/>
  <c r="Q25" i="65" l="1"/>
  <c r="Q26" i="65" l="1"/>
  <c r="Q27" i="65" l="1"/>
  <c r="Q28" i="65" l="1"/>
  <c r="Q29" i="65" l="1"/>
  <c r="Q30" i="65" l="1"/>
  <c r="Q31" i="65" l="1"/>
  <c r="Q32" i="65" l="1"/>
  <c r="Q33" i="65" l="1"/>
  <c r="Q34" i="65" l="1"/>
  <c r="Q35" i="65" l="1"/>
  <c r="Q36" i="65" l="1"/>
  <c r="Q37" i="65" l="1"/>
  <c r="Q38" i="65" l="1"/>
  <c r="Q39" i="65" l="1"/>
  <c r="Q40" i="65" l="1"/>
  <c r="R7" i="65"/>
  <c r="R4" i="65" l="1"/>
  <c r="R25" i="65"/>
  <c r="R26" i="65" l="1"/>
  <c r="R27" i="65" l="1"/>
  <c r="R28" i="65" l="1"/>
  <c r="R29" i="65" l="1"/>
  <c r="R30" i="65" l="1"/>
  <c r="R31" i="65" l="1"/>
  <c r="R32" i="65" l="1"/>
  <c r="R33" i="65" l="1"/>
  <c r="R34" i="65" l="1"/>
  <c r="R35" i="65" l="1"/>
  <c r="R36" i="65" l="1"/>
  <c r="R37" i="65" l="1"/>
  <c r="R38" i="65" l="1"/>
  <c r="R39" i="65" l="1"/>
  <c r="R40" i="65" l="1"/>
  <c r="S7" i="65" l="1"/>
  <c r="S4" i="65" l="1"/>
  <c r="S26" i="65"/>
  <c r="S27" i="65" l="1"/>
  <c r="S28" i="65" l="1"/>
  <c r="S29" i="65" l="1"/>
  <c r="S30" i="65" l="1"/>
  <c r="S31" i="65" l="1"/>
  <c r="S32" i="65" l="1"/>
  <c r="S33" i="65" l="1"/>
  <c r="S34" i="65" l="1"/>
  <c r="S35" i="65" l="1"/>
  <c r="S36" i="65" l="1"/>
  <c r="S37" i="65" l="1"/>
  <c r="S38" i="65" l="1"/>
  <c r="S39" i="65" l="1"/>
  <c r="S40" i="65" l="1"/>
  <c r="T7" i="65" l="1"/>
  <c r="T4" i="65" l="1"/>
  <c r="T27" i="65"/>
  <c r="T28" i="65" l="1"/>
  <c r="T29" i="65" l="1"/>
  <c r="T30" i="65" l="1"/>
  <c r="T31" i="65" l="1"/>
  <c r="T32" i="65" l="1"/>
  <c r="T33" i="65" l="1"/>
  <c r="T34" i="65" l="1"/>
  <c r="T35" i="65" l="1"/>
  <c r="T36" i="65" l="1"/>
  <c r="T37" i="65" l="1"/>
  <c r="T38" i="65" l="1"/>
  <c r="T39" i="65" l="1"/>
  <c r="T40" i="65" l="1"/>
  <c r="U7" i="65" l="1"/>
  <c r="U4" i="65" s="1"/>
  <c r="U28" i="65" l="1"/>
  <c r="U29" i="65" s="1"/>
  <c r="U30" i="65" l="1"/>
  <c r="U31" i="65" l="1"/>
  <c r="U32" i="65" l="1"/>
  <c r="U33" i="65" l="1"/>
  <c r="U34" i="65" l="1"/>
  <c r="U35" i="65" l="1"/>
  <c r="U36" i="65" l="1"/>
  <c r="U37" i="65" l="1"/>
  <c r="U38" i="65" l="1"/>
  <c r="U39" i="65" l="1"/>
  <c r="U40" i="65" l="1"/>
  <c r="V7" i="65" l="1"/>
  <c r="V4" i="65" l="1"/>
  <c r="V29" i="65"/>
  <c r="V30" i="65" l="1"/>
  <c r="V31" i="65" l="1"/>
  <c r="V32" i="65" l="1"/>
  <c r="V33" i="65" l="1"/>
  <c r="V34" i="65" l="1"/>
  <c r="V35" i="65" l="1"/>
  <c r="V36" i="65" l="1"/>
  <c r="V37" i="65" l="1"/>
  <c r="V38" i="65" l="1"/>
  <c r="V39" i="65" l="1"/>
  <c r="V40" i="65" l="1"/>
  <c r="W7" i="65" l="1"/>
  <c r="W4" i="65" l="1"/>
  <c r="W30" i="65"/>
  <c r="W31" i="65" l="1"/>
  <c r="W32" i="65" l="1"/>
  <c r="W33" i="65" l="1"/>
  <c r="W34" i="65" l="1"/>
  <c r="W35" i="65" l="1"/>
  <c r="W36" i="65" l="1"/>
  <c r="W37" i="65" l="1"/>
  <c r="W38" i="65" l="1"/>
  <c r="W39" i="65" l="1"/>
  <c r="W40" i="65" l="1"/>
  <c r="X7" i="65" l="1"/>
  <c r="X4" i="65" l="1"/>
  <c r="X31" i="65"/>
  <c r="X32" i="65" l="1"/>
  <c r="X33" i="65" l="1"/>
  <c r="X34" i="65" l="1"/>
  <c r="X35" i="65" l="1"/>
  <c r="X36" i="65" l="1"/>
  <c r="X37" i="65" l="1"/>
  <c r="X38" i="65" l="1"/>
  <c r="X39" i="65" l="1"/>
  <c r="X40" i="65" s="1"/>
  <c r="Y7" i="65" l="1"/>
  <c r="Y4" i="65" l="1"/>
  <c r="Y32" i="65"/>
  <c r="Y33" i="65" l="1"/>
  <c r="Y34" i="65" l="1"/>
  <c r="Y35" i="65" l="1"/>
  <c r="Y36" i="65" l="1"/>
  <c r="Y37" i="65" l="1"/>
  <c r="Y38" i="65" l="1"/>
  <c r="Y39" i="65" l="1"/>
  <c r="Y40" i="65" s="1"/>
  <c r="Z7" i="65" l="1"/>
  <c r="Z4" i="65" l="1"/>
  <c r="Z33" i="65"/>
  <c r="Z34" i="65" l="1"/>
  <c r="Z35" i="65" l="1"/>
  <c r="Z36" i="65" l="1"/>
  <c r="Z37" i="65" l="1"/>
  <c r="Z38" i="65" l="1"/>
  <c r="Z39" i="65" l="1"/>
  <c r="Z40" i="65" l="1"/>
  <c r="AA7" i="65" l="1"/>
  <c r="AA4" i="65" l="1"/>
  <c r="AA34" i="65"/>
  <c r="AA35" i="65" l="1"/>
  <c r="AA36" i="65" l="1"/>
  <c r="AA37" i="65" l="1"/>
  <c r="AA38" i="65" l="1"/>
  <c r="AA39" i="65" l="1"/>
  <c r="AA40" i="65" l="1"/>
  <c r="AB7" i="65" l="1"/>
  <c r="AB4" i="65" l="1"/>
  <c r="AB35" i="65"/>
  <c r="AB36" i="65" l="1"/>
  <c r="AB37" i="65" l="1"/>
  <c r="AB38" i="65" l="1"/>
  <c r="AB39" i="65" l="1"/>
  <c r="AB40" i="65" l="1"/>
  <c r="AC7" i="65" l="1"/>
  <c r="AC4" i="65" l="1"/>
  <c r="AC36" i="65"/>
  <c r="AC37" i="65" l="1"/>
  <c r="AC38" i="65" l="1"/>
  <c r="AC39" i="65" l="1"/>
  <c r="AC40" i="65" s="1"/>
  <c r="AD7" i="65" l="1"/>
  <c r="AD4" i="65" l="1"/>
  <c r="AD37" i="65"/>
  <c r="AD38" i="65" l="1"/>
  <c r="AD39" i="65" l="1"/>
  <c r="AD40" i="65" s="1"/>
  <c r="AE7" i="65" l="1"/>
  <c r="AE38" i="65" l="1"/>
  <c r="AE4" i="65"/>
  <c r="AE39" i="65" l="1"/>
  <c r="AE40" i="65" s="1"/>
  <c r="AF7" i="65" l="1"/>
  <c r="AF39" i="65" l="1"/>
  <c r="AF4" i="65"/>
  <c r="AF40" i="65" l="1"/>
  <c r="AG7" i="65" l="1"/>
  <c r="AG4" i="65" l="1"/>
  <c r="AG39" i="65"/>
  <c r="AG40" i="65" l="1"/>
  <c r="G4" i="27" l="1"/>
  <c r="G35" i="27" s="1"/>
  <c r="H4" i="27" l="1"/>
  <c r="H39" i="27" s="1"/>
  <c r="G7" i="65" l="1"/>
  <c r="G4" i="65" l="1"/>
  <c r="G14" i="65"/>
  <c r="G15" i="65" l="1"/>
  <c r="G16" i="65" l="1"/>
  <c r="G17" i="65" l="1"/>
  <c r="G18" i="65" l="1"/>
  <c r="G19" i="65" l="1"/>
  <c r="G20" i="65" l="1"/>
  <c r="G21" i="65" l="1"/>
  <c r="G22" i="65" l="1"/>
  <c r="G23" i="65" l="1"/>
  <c r="G24" i="65" l="1"/>
  <c r="G25" i="65" l="1"/>
  <c r="G26" i="65" l="1"/>
  <c r="G27" i="65" l="1"/>
  <c r="G28" i="65" l="1"/>
  <c r="G29" i="65" l="1"/>
  <c r="G30" i="65" l="1"/>
  <c r="G31" i="65" l="1"/>
  <c r="G32" i="65" l="1"/>
  <c r="G33" i="65" l="1"/>
  <c r="G34" i="65" l="1"/>
  <c r="G35" i="65" l="1"/>
  <c r="G36" i="65" l="1"/>
  <c r="G37" i="65" l="1"/>
  <c r="G38" i="65" l="1"/>
  <c r="G39" i="65" l="1"/>
  <c r="G40" i="65" l="1"/>
  <c r="I4" i="61" l="1"/>
  <c r="I5" i="61"/>
  <c r="I18" i="61"/>
  <c r="I12" i="61" l="1"/>
  <c r="G12" i="61"/>
  <c r="I10" i="61"/>
  <c r="F10" i="61" s="1"/>
  <c r="G10" i="61"/>
  <c r="I8" i="61"/>
  <c r="F8" i="61" s="1"/>
  <c r="G8" i="61"/>
  <c r="I6" i="61"/>
  <c r="I19" i="61"/>
  <c r="I11" i="61"/>
  <c r="G11" i="61"/>
  <c r="I9" i="61"/>
  <c r="G9" i="61"/>
  <c r="I7" i="61"/>
  <c r="F7" i="61" s="1"/>
  <c r="G7" i="61"/>
  <c r="I70" i="61"/>
  <c r="AN7" i="61" l="1"/>
  <c r="AN9" i="61"/>
  <c r="AN11" i="61"/>
  <c r="G19" i="61"/>
  <c r="AN19" i="61" s="1"/>
  <c r="G18" i="61"/>
  <c r="G6" i="61"/>
  <c r="AN6" i="61" s="1"/>
  <c r="I73" i="61"/>
  <c r="D7" i="65" s="1"/>
  <c r="C4" i="62" a="1"/>
  <c r="AN8" i="61"/>
  <c r="AN10" i="61"/>
  <c r="AN12" i="61"/>
  <c r="AN18" i="61" l="1"/>
  <c r="G70" i="61"/>
  <c r="G73" i="61" s="1"/>
  <c r="D11" i="65"/>
  <c r="D4" i="65"/>
  <c r="AH4" i="65" s="1"/>
  <c r="B4" i="65" s="1"/>
  <c r="AH7" i="65"/>
  <c r="B7" i="65" s="1"/>
  <c r="E11" i="62"/>
  <c r="C17" i="62"/>
  <c r="D22" i="62"/>
  <c r="E27" i="62"/>
  <c r="C33" i="62"/>
  <c r="C21" i="62"/>
  <c r="E31" i="62"/>
  <c r="D18" i="62"/>
  <c r="C29" i="62"/>
  <c r="C31" i="62"/>
  <c r="E25" i="62"/>
  <c r="D20" i="62"/>
  <c r="C15" i="62"/>
  <c r="D10" i="62"/>
  <c r="E7" i="62"/>
  <c r="C5" i="62"/>
  <c r="C32" i="62"/>
  <c r="D29" i="62"/>
  <c r="E26" i="62"/>
  <c r="C24" i="62"/>
  <c r="D21" i="62"/>
  <c r="E18" i="62"/>
  <c r="C16" i="62"/>
  <c r="D13" i="62"/>
  <c r="E10" i="62"/>
  <c r="C8" i="62"/>
  <c r="D5" i="62"/>
  <c r="E29" i="62"/>
  <c r="D24" i="62"/>
  <c r="C19" i="62"/>
  <c r="E13" i="62"/>
  <c r="E9" i="62"/>
  <c r="C7" i="62"/>
  <c r="D4" i="62"/>
  <c r="D31" i="62"/>
  <c r="E28" i="62"/>
  <c r="C26" i="62"/>
  <c r="D23" i="62"/>
  <c r="E20" i="62"/>
  <c r="C18" i="62"/>
  <c r="D15" i="62"/>
  <c r="E12" i="62"/>
  <c r="C10" i="62"/>
  <c r="D7" i="62"/>
  <c r="E4" i="62"/>
  <c r="C4" i="62"/>
  <c r="D14" i="62"/>
  <c r="E19" i="62"/>
  <c r="C25" i="62"/>
  <c r="D30" i="62"/>
  <c r="E15" i="62"/>
  <c r="D26" i="62"/>
  <c r="C13" i="62"/>
  <c r="E23" i="62"/>
  <c r="E33" i="62"/>
  <c r="D28" i="62"/>
  <c r="C23" i="62"/>
  <c r="E17" i="62"/>
  <c r="D12" i="62"/>
  <c r="C9" i="62"/>
  <c r="D6" i="62"/>
  <c r="D33" i="62"/>
  <c r="E30" i="62"/>
  <c r="C28" i="62"/>
  <c r="D25" i="62"/>
  <c r="E22" i="62"/>
  <c r="C20" i="62"/>
  <c r="D17" i="62"/>
  <c r="E14" i="62"/>
  <c r="C12" i="62"/>
  <c r="D9" i="62"/>
  <c r="E6" i="62"/>
  <c r="D32" i="62"/>
  <c r="C27" i="62"/>
  <c r="E21" i="62"/>
  <c r="D16" i="62"/>
  <c r="C11" i="62"/>
  <c r="D8" i="62"/>
  <c r="E5" i="62"/>
  <c r="E32" i="62"/>
  <c r="C30" i="62"/>
  <c r="D27" i="62"/>
  <c r="E24" i="62"/>
  <c r="C22" i="62"/>
  <c r="E16" i="62"/>
  <c r="D11" i="62"/>
  <c r="C6" i="62"/>
  <c r="D19" i="62"/>
  <c r="C14" i="62"/>
  <c r="E8" i="62"/>
  <c r="G4" i="61" l="1"/>
  <c r="AN4" i="61" s="1"/>
  <c r="AN67" i="61"/>
  <c r="F22" i="62"/>
  <c r="F27" i="62"/>
  <c r="F12" i="62"/>
  <c r="F28" i="62"/>
  <c r="F9" i="62"/>
  <c r="C34" i="62"/>
  <c r="F4" i="62"/>
  <c r="F18" i="62"/>
  <c r="D34" i="62"/>
  <c r="F19" i="62"/>
  <c r="F8" i="62"/>
  <c r="F24" i="62"/>
  <c r="F5" i="62"/>
  <c r="F31" i="62"/>
  <c r="F21" i="62"/>
  <c r="F17" i="62"/>
  <c r="D12" i="65"/>
  <c r="AH11" i="65"/>
  <c r="AN5" i="61"/>
  <c r="F14" i="62"/>
  <c r="F6" i="62"/>
  <c r="F30" i="62"/>
  <c r="F11" i="62"/>
  <c r="F20" i="62"/>
  <c r="F23" i="62"/>
  <c r="F13" i="62"/>
  <c r="F25" i="62"/>
  <c r="E34" i="62"/>
  <c r="F10" i="62"/>
  <c r="F26" i="62"/>
  <c r="F7" i="62"/>
  <c r="F16" i="62"/>
  <c r="F32" i="62"/>
  <c r="F15" i="62"/>
  <c r="F29" i="62"/>
  <c r="F33" i="62"/>
  <c r="D13" i="65" l="1"/>
  <c r="AH12" i="65"/>
  <c r="F34" i="62"/>
  <c r="AN73" i="61"/>
  <c r="AN70" i="61"/>
  <c r="K6" i="60"/>
  <c r="K7" i="60" l="1"/>
  <c r="D14" i="65"/>
  <c r="AH13" i="65"/>
  <c r="D15" i="65" l="1"/>
  <c r="AH14" i="65"/>
  <c r="K8" i="60"/>
  <c r="K9" i="60" l="1"/>
  <c r="D16" i="65"/>
  <c r="AH15" i="65"/>
  <c r="D17" i="65" l="1"/>
  <c r="AH16" i="65"/>
  <c r="K10" i="60"/>
  <c r="K11" i="60" l="1"/>
  <c r="D18" i="65"/>
  <c r="AH17" i="65"/>
  <c r="D19" i="65" l="1"/>
  <c r="AH18" i="65"/>
  <c r="K12" i="60"/>
  <c r="K13" i="60" l="1"/>
  <c r="D20" i="65"/>
  <c r="AH19" i="65"/>
  <c r="K14" i="60" l="1"/>
  <c r="D21" i="65"/>
  <c r="AH20" i="65"/>
  <c r="K15" i="60" l="1"/>
  <c r="D22" i="65"/>
  <c r="AH21" i="65"/>
  <c r="K16" i="60" l="1"/>
  <c r="D23" i="65"/>
  <c r="AH22" i="65"/>
  <c r="K17" i="60" l="1"/>
  <c r="D24" i="65"/>
  <c r="AH23" i="65"/>
  <c r="K18" i="60" l="1"/>
  <c r="D25" i="65"/>
  <c r="AH24" i="65"/>
  <c r="D26" i="65" l="1"/>
  <c r="AH25" i="65"/>
  <c r="K19" i="60"/>
  <c r="K20" i="60" l="1"/>
  <c r="D27" i="65"/>
  <c r="AH26" i="65"/>
  <c r="K21" i="60" l="1"/>
  <c r="D28" i="65"/>
  <c r="AH27" i="65"/>
  <c r="K22" i="60" l="1"/>
  <c r="D29" i="65"/>
  <c r="AH28" i="65"/>
  <c r="D30" i="65" l="1"/>
  <c r="AH29" i="65"/>
  <c r="K23" i="60"/>
  <c r="K24" i="60" l="1"/>
  <c r="D31" i="65"/>
  <c r="AH30" i="65"/>
  <c r="K25" i="60" l="1"/>
  <c r="D32" i="65"/>
  <c r="AH31" i="65"/>
  <c r="K26" i="60" l="1"/>
  <c r="D33" i="65"/>
  <c r="AH32" i="65"/>
  <c r="D34" i="65" l="1"/>
  <c r="AH33" i="65"/>
  <c r="K27" i="60"/>
  <c r="K28" i="60" l="1"/>
  <c r="D35" i="65"/>
  <c r="AH34" i="65"/>
  <c r="D36" i="65" l="1"/>
  <c r="AH35" i="65"/>
  <c r="K29" i="60"/>
  <c r="K30" i="60" l="1"/>
  <c r="D37" i="65"/>
  <c r="AH36" i="65"/>
  <c r="D38" i="65" l="1"/>
  <c r="AH37" i="65"/>
  <c r="K31" i="60"/>
  <c r="K32" i="60" l="1"/>
  <c r="D39" i="65"/>
  <c r="AH38" i="65"/>
  <c r="AH39" i="65" l="1"/>
  <c r="D40" i="65"/>
  <c r="K33" i="60"/>
  <c r="K34" i="60" l="1"/>
  <c r="K35" i="60" s="1"/>
  <c r="G37" i="60" s="1"/>
  <c r="AH40" i="65"/>
  <c r="AL36" i="65" s="1"/>
  <c r="AL35" i="65"/>
  <c r="AH350" i="65" l="1"/>
  <c r="AL22" i="65" s="1"/>
  <c r="AH365" i="65"/>
  <c r="AH347" i="65"/>
  <c r="AL19" i="65" s="1"/>
  <c r="AH352" i="65"/>
  <c r="AL24" i="65" s="1"/>
  <c r="AH357" i="65"/>
  <c r="AL29" i="65" s="1"/>
  <c r="AH360" i="65"/>
  <c r="AL32" i="65" s="1"/>
  <c r="AH366" i="65"/>
  <c r="AH349" i="65"/>
  <c r="AL21" i="65" s="1"/>
  <c r="AH363" i="65"/>
  <c r="AL9" i="65"/>
  <c r="AH361" i="65"/>
  <c r="AL33" i="65" s="1"/>
  <c r="AH367" i="65"/>
  <c r="AH344" i="65"/>
  <c r="AL16" i="65" s="1"/>
  <c r="AH369" i="65"/>
  <c r="AH359" i="65"/>
  <c r="AL31" i="65" s="1"/>
  <c r="AH356" i="65"/>
  <c r="AL28" i="65" s="1"/>
  <c r="AH355" i="65"/>
  <c r="AL27" i="65" s="1"/>
  <c r="AH341" i="65"/>
  <c r="AL13" i="65" s="1"/>
  <c r="AH358" i="65"/>
  <c r="AL30" i="65" s="1"/>
  <c r="AH362" i="65"/>
  <c r="AL34" i="65" s="1"/>
  <c r="AH368" i="65"/>
  <c r="AH371" i="65"/>
  <c r="AH346" i="65"/>
  <c r="AL18" i="65" s="1"/>
  <c r="AH345" i="65"/>
  <c r="AL17" i="65" s="1"/>
  <c r="AH351" i="65"/>
  <c r="AL23" i="65" s="1"/>
  <c r="AH364" i="65"/>
  <c r="AL12" i="65"/>
  <c r="AH348" i="65"/>
  <c r="AL20" i="65" s="1"/>
  <c r="AH342" i="65"/>
  <c r="AL14" i="65" s="1"/>
  <c r="AH354" i="65"/>
  <c r="AL26" i="65" s="1"/>
  <c r="AL11" i="65"/>
  <c r="AH370" i="65"/>
  <c r="AH353" i="65"/>
  <c r="AL25" i="65" s="1"/>
  <c r="AH343" i="65"/>
  <c r="AL15" i="65" s="1"/>
  <c r="AL10" i="65"/>
  <c r="AL38" i="65"/>
  <c r="AL37" i="65"/>
  <c r="AL39" i="6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Daniel</author>
  </authors>
  <commentList>
    <comment ref="J8" authorId="0" shapeId="0" xr:uid="{00000000-0006-0000-1500-000001000000}">
      <text>
        <r>
          <rPr>
            <b/>
            <sz val="9"/>
            <color indexed="81"/>
            <rFont val="Segoe UI"/>
            <family val="2"/>
          </rPr>
          <t>Daniel:</t>
        </r>
        <r>
          <rPr>
            <sz val="9"/>
            <color indexed="81"/>
            <rFont val="Segoe UI"/>
            <family val="2"/>
          </rPr>
          <t xml:space="preserve">
Não executado. Glosa.</t>
        </r>
      </text>
    </comment>
    <comment ref="J18" authorId="0" shapeId="0" xr:uid="{00000000-0006-0000-1500-000002000000}">
      <text>
        <r>
          <rPr>
            <b/>
            <sz val="9"/>
            <color indexed="81"/>
            <rFont val="Segoe UI"/>
            <family val="2"/>
          </rPr>
          <t>Daniel:</t>
        </r>
        <r>
          <rPr>
            <sz val="9"/>
            <color indexed="81"/>
            <rFont val="Segoe UI"/>
            <family val="2"/>
          </rPr>
          <t xml:space="preserve">
Não executado. Glosa.</t>
        </r>
      </text>
    </comment>
    <comment ref="J20" authorId="0" shapeId="0" xr:uid="{00000000-0006-0000-1500-000003000000}">
      <text>
        <r>
          <rPr>
            <b/>
            <sz val="9"/>
            <color indexed="81"/>
            <rFont val="Segoe UI"/>
            <family val="2"/>
          </rPr>
          <t>Daniel:</t>
        </r>
        <r>
          <rPr>
            <sz val="9"/>
            <color indexed="81"/>
            <rFont val="Segoe UI"/>
            <family val="2"/>
          </rPr>
          <t xml:space="preserve">
Não executado. Glosa.</t>
        </r>
      </text>
    </comment>
    <comment ref="J33" authorId="0" shapeId="0" xr:uid="{00000000-0006-0000-1500-000004000000}">
      <text>
        <r>
          <rPr>
            <b/>
            <sz val="9"/>
            <color indexed="81"/>
            <rFont val="Segoe UI"/>
            <family val="2"/>
          </rPr>
          <t>Daniel:</t>
        </r>
        <r>
          <rPr>
            <sz val="9"/>
            <color indexed="81"/>
            <rFont val="Segoe UI"/>
            <family val="2"/>
          </rPr>
          <t xml:space="preserve">
Descontado Booster e redes Colinas
</t>
        </r>
      </text>
    </comment>
    <comment ref="J52" authorId="0" shapeId="0" xr:uid="{00000000-0006-0000-1500-000005000000}">
      <text>
        <r>
          <rPr>
            <b/>
            <sz val="9"/>
            <color indexed="81"/>
            <rFont val="Segoe UI"/>
            <family val="2"/>
          </rPr>
          <t>Daniel:</t>
        </r>
        <r>
          <rPr>
            <sz val="9"/>
            <color indexed="81"/>
            <rFont val="Segoe UI"/>
            <family val="2"/>
          </rPr>
          <t xml:space="preserve">
Não executado. Glosa.</t>
        </r>
      </text>
    </comment>
    <comment ref="B54" authorId="0" shapeId="0" xr:uid="{00000000-0006-0000-1500-000006000000}">
      <text>
        <r>
          <rPr>
            <b/>
            <sz val="9"/>
            <color indexed="81"/>
            <rFont val="Segoe UI"/>
            <family val="2"/>
          </rPr>
          <t>Daniel:</t>
        </r>
        <r>
          <rPr>
            <sz val="9"/>
            <color indexed="81"/>
            <rFont val="Segoe UI"/>
            <family val="2"/>
          </rPr>
          <t xml:space="preserve">
Ampliação da área de concessão
</t>
        </r>
      </text>
    </comment>
    <comment ref="L66" authorId="0" shapeId="0" xr:uid="{00000000-0006-0000-1500-000007000000}">
      <text>
        <r>
          <rPr>
            <b/>
            <sz val="9"/>
            <color indexed="81"/>
            <rFont val="Segoe UI"/>
            <family val="2"/>
          </rPr>
          <t>Daniel:</t>
        </r>
        <r>
          <rPr>
            <sz val="9"/>
            <color indexed="81"/>
            <rFont val="Segoe UI"/>
            <family val="2"/>
          </rPr>
          <t xml:space="preserve">
Esgoto CDHU de R$222776,04 base set/19 deflacionado paea nov/14</t>
        </r>
      </text>
    </comment>
    <comment ref="K68" authorId="0" shapeId="0" xr:uid="{00000000-0006-0000-1500-000008000000}">
      <text>
        <r>
          <rPr>
            <b/>
            <sz val="9"/>
            <color indexed="81"/>
            <rFont val="Segoe UI"/>
            <family val="2"/>
          </rPr>
          <t>Daniel:</t>
        </r>
        <r>
          <rPr>
            <sz val="9"/>
            <color indexed="81"/>
            <rFont val="Segoe UI"/>
            <family val="2"/>
          </rPr>
          <t xml:space="preserve">
Interceptores não executados Anos 3 e 4. Previsão para Ano 5.</t>
        </r>
      </text>
    </comment>
    <comment ref="K72" authorId="0" shapeId="0" xr:uid="{00000000-0006-0000-1500-000009000000}">
      <text>
        <r>
          <rPr>
            <b/>
            <sz val="9"/>
            <color indexed="81"/>
            <rFont val="Segoe UI"/>
            <family val="2"/>
          </rPr>
          <t>Daniel:</t>
        </r>
        <r>
          <rPr>
            <sz val="9"/>
            <color indexed="81"/>
            <rFont val="Segoe UI"/>
            <family val="2"/>
          </rPr>
          <t xml:space="preserve">
Não executou no Ano 4. Nova previsão para Ano 5.</t>
        </r>
      </text>
    </comment>
  </commentList>
</comments>
</file>

<file path=xl/sharedStrings.xml><?xml version="1.0" encoding="utf-8"?>
<sst xmlns="http://schemas.openxmlformats.org/spreadsheetml/2006/main" count="1259" uniqueCount="587">
  <si>
    <t>TOTAL</t>
  </si>
  <si>
    <t>ANO</t>
  </si>
  <si>
    <t>NÚMERO DE EMPREGADOS OPERACIONAIS</t>
  </si>
  <si>
    <t>NÚMERO TOTAL DE EMPREGADOS</t>
  </si>
  <si>
    <t>VALOR TOTAL (R$)</t>
  </si>
  <si>
    <t>CUSTO DO PRODUTO (R$/kg)</t>
  </si>
  <si>
    <t>CONSUMO TOTAL ANUAL (kg/ano)</t>
  </si>
  <si>
    <t>GASTO TOTAL ANUAL (R$/ano)</t>
  </si>
  <si>
    <t>PERDAS (%)</t>
  </si>
  <si>
    <t>VOLUME RESERVAÇÃO (m³)</t>
  </si>
  <si>
    <t>Nº TOTAL DE LIGAÇÕES ÁGUA</t>
  </si>
  <si>
    <t>Nº TOTAL DE LIGAÇÕES ESGOTO</t>
  </si>
  <si>
    <t>REDE DE ÁGUA (m)</t>
  </si>
  <si>
    <t>Nº LIGAÇÕES ÁGUA</t>
  </si>
  <si>
    <t>REDE DE ESGOTO (m)</t>
  </si>
  <si>
    <t>Nº LIGAÇÕES ESGOTO</t>
  </si>
  <si>
    <t>NÚMERO DE EMPREGADOS ADMINISTRAÇÃO E COMERCIAL</t>
  </si>
  <si>
    <t>DOSAGEM MÉDIA (kg/m³)</t>
  </si>
  <si>
    <t>Nº HIDRÔMETROS (para atender índice de 100%)</t>
  </si>
  <si>
    <t>SALÁRIO MÉDIO OPERACIONAL COM ENCARGOS E BENEFÍCIOS</t>
  </si>
  <si>
    <t>DESPESAS COM PESSOAL OPERACIONAL</t>
  </si>
  <si>
    <t>DESPESAS COM PESSOAL ADMINISTRATIVO E COMERCIAL</t>
  </si>
  <si>
    <t>CONSUMO (kWh x 1000)</t>
  </si>
  <si>
    <t>URBANA</t>
  </si>
  <si>
    <t>RURAL</t>
  </si>
  <si>
    <t>%</t>
  </si>
  <si>
    <t>ÁGUA</t>
  </si>
  <si>
    <t>COLETA</t>
  </si>
  <si>
    <t>TRATAMENTO</t>
  </si>
  <si>
    <t>Nº TOTAL DE ECONOMIASDE ÁGUA</t>
  </si>
  <si>
    <t>Nº TOTAL DE ECONOMIAS DE ESGOTO</t>
  </si>
  <si>
    <t>SALÁRIO MÉDIO ADM E COMERCIAL COM ENCARGOS E BENEFÍCIOS</t>
  </si>
  <si>
    <t>DESPESA TOTAL</t>
  </si>
  <si>
    <t>ENERGIA ELETRICA - ÁGUA</t>
  </si>
  <si>
    <t>ENERGIA ELETRICA - ESGOTO</t>
  </si>
  <si>
    <t>ENERGIA ELETRICA - ADM</t>
  </si>
  <si>
    <t>VOLUME PRODUZIDO   (m³)</t>
  </si>
  <si>
    <t>PERDAS NA DISTRIBUIÇÃO</t>
  </si>
  <si>
    <t>PERDAS NO FATURAMENTO</t>
  </si>
  <si>
    <t>VOLUME MICROMEDIDO (m³)</t>
  </si>
  <si>
    <t>VOLUME FATURADO    (m³)</t>
  </si>
  <si>
    <t>PERDAS COMERCIAIS    (%)</t>
  </si>
  <si>
    <t>TABELA 1 - POPULAÇÃO E EVOLUÇÃO DO NÍVEL DE ATENDIMENTO</t>
  </si>
  <si>
    <t>TABELA 2 - EVOLUÇÃO DE LIGAÇÕES E ECONOMIAS DE ÁGUA E ESGOTO</t>
  </si>
  <si>
    <t>TABELA 3 - EVOLUÇÃO DO VOLUME PRODUZIDO, CONSUMIDO, MICROMEDIDO, FATURADO E ÍNDICE DE PERDAS</t>
  </si>
  <si>
    <t>TABELA 4 - VAZÕES E VOLUMES DE ÁGUA E ESGOTO</t>
  </si>
  <si>
    <t>TABELA 6 - INVESTIMENTOS EM REDES E LIGAÇÕES DE ÁGUA</t>
  </si>
  <si>
    <t>TABELA 7 - INVESTIMENTOS EM REDES E LIGAÇÕES DE ESGOTO</t>
  </si>
  <si>
    <t>TABELA 8 - RECURSOS HUMANOS - EVOLUÇÃO DO NÚMERO DE EMPREGADOS E SALÁRIOS</t>
  </si>
  <si>
    <t>TABELA 9 - ENERGIA ELÉTRICA NO SISTEMA DE ÁGUA, ESGOTO E INSTALAÇÕES ADMINISTRATIVAS</t>
  </si>
  <si>
    <t>TABELA 11 - PRODUTOS QUÍMICOS UTILIZADOS - ESGOTO</t>
  </si>
  <si>
    <t>TABELA 10 - PRODUTOS QUÍMICOS UTILIZADOS - ÁGUA</t>
  </si>
  <si>
    <t>TABELA 5 - EVOLUÇÃO DO ÍNDICE DE PERDAS NO SISTEMA</t>
  </si>
  <si>
    <t>POPULAÇÃO TOTAL  (hab.)</t>
  </si>
  <si>
    <t>POPULAÇÃO ATENDIDA NA ÁREA DA CONCESSÃO (hab.)</t>
  </si>
  <si>
    <t>Informação TR - indice medio hab/lig</t>
  </si>
  <si>
    <t>Vazão Total Diária (L/s)</t>
  </si>
  <si>
    <t>Vazão Média (L/s)</t>
  </si>
  <si>
    <t>PROD</t>
  </si>
  <si>
    <t>CONS</t>
  </si>
  <si>
    <t>MICRO</t>
  </si>
  <si>
    <t>FAT</t>
  </si>
  <si>
    <t>l/hab.dia</t>
  </si>
  <si>
    <t>Q MÉDIO DIÁRIO ÁGUA (l/s)</t>
  </si>
  <si>
    <t>Q dia&gt; CONSUMO ÁGUA (l/s)</t>
  </si>
  <si>
    <t>Q hora&gt; CONSUMO ÁGUA (l/s)</t>
  </si>
  <si>
    <t>Q MÉDIO DIÁRIO ESGOTO PRODUZIDO (l/s)</t>
  </si>
  <si>
    <t>Q dia&gt; PRODUÇÃO ESGOTO (l/s)</t>
  </si>
  <si>
    <t>Q hora&gt; PRODUÇÃO ESGOTO (l/s)</t>
  </si>
  <si>
    <t>Índice de Perdas ( % )</t>
  </si>
  <si>
    <t>consumo médio</t>
  </si>
  <si>
    <t>Ligações (un)</t>
  </si>
  <si>
    <t>Rede / lig     (m)</t>
  </si>
  <si>
    <t>Extensão de Rede Existente(m)</t>
  </si>
  <si>
    <t>Incremento de Rede - Cresc. Vegetativo (m)</t>
  </si>
  <si>
    <t>Substituição de rede (m)</t>
  </si>
  <si>
    <t>Extensão Total (m)</t>
  </si>
  <si>
    <t>População (hab)</t>
  </si>
  <si>
    <t>TERMO DE REFERENCIA</t>
  </si>
  <si>
    <t>DEFCIT</t>
  </si>
  <si>
    <t>REDE EXISTENTE</t>
  </si>
  <si>
    <t>Increm. Ano m</t>
  </si>
  <si>
    <t xml:space="preserve">Increm. ligações Ano </t>
  </si>
  <si>
    <t>l/s.km</t>
  </si>
  <si>
    <t>l/s.m</t>
  </si>
  <si>
    <t>MDO OPERACIONAL</t>
  </si>
  <si>
    <t>MDO ADM E GESTÃO CML</t>
  </si>
  <si>
    <t>AGUA</t>
  </si>
  <si>
    <t>ESGOTO</t>
  </si>
  <si>
    <t>ADM</t>
  </si>
  <si>
    <t>Sulfato de Aluminio</t>
  </si>
  <si>
    <t>PRODUTO: ácido fluossilicio</t>
  </si>
  <si>
    <t>ácido fluossilicio</t>
  </si>
  <si>
    <t>Cloro</t>
  </si>
  <si>
    <t>PRODUTO: Cloro</t>
  </si>
  <si>
    <t>PRODUTO:Polimero</t>
  </si>
  <si>
    <t>vol  prod</t>
  </si>
  <si>
    <t>% meta esgoto</t>
  </si>
  <si>
    <t>vol prod</t>
  </si>
  <si>
    <t>R$</t>
  </si>
  <si>
    <t>Tipo</t>
  </si>
  <si>
    <t>Classe de consumo m³</t>
  </si>
  <si>
    <t>Tarifa</t>
  </si>
  <si>
    <t>Água     R$/m³</t>
  </si>
  <si>
    <t>Esgoto R$/m³</t>
  </si>
  <si>
    <t>RESIDENCIAL SOCIAL</t>
  </si>
  <si>
    <t>01 a 10</t>
  </si>
  <si>
    <t>11 a 20</t>
  </si>
  <si>
    <t>21 a 30</t>
  </si>
  <si>
    <t>31 a 50</t>
  </si>
  <si>
    <t>acima de 50</t>
  </si>
  <si>
    <t>RESIDENCIAL NORMAL</t>
  </si>
  <si>
    <t>21 a 50</t>
  </si>
  <si>
    <t>COMERCIAL NORMAL</t>
  </si>
  <si>
    <t>INDUSTRIAL</t>
  </si>
  <si>
    <t>PUBLICA SEM CONTRATO</t>
  </si>
  <si>
    <t>TABELA 13: COMPOSIÇÃO DO FATURAMENTO POR CATEGORIA</t>
  </si>
  <si>
    <t>FATURAMENTO DE ÁGUA E ESGOTO</t>
  </si>
  <si>
    <t>RESIDENCIAL</t>
  </si>
  <si>
    <t>COMERCIAL</t>
  </si>
  <si>
    <t>PUBLICA</t>
  </si>
  <si>
    <t>Total</t>
  </si>
  <si>
    <t>TABELA 14: COMPOSIÇÃO DO FATURAMENTO TOTAL</t>
  </si>
  <si>
    <t>SERVIÇOS</t>
  </si>
  <si>
    <t>TABELA 15: PERFIL DA ARRECADAÇÃO</t>
  </si>
  <si>
    <t>FATURAMENTO TOTAL</t>
  </si>
  <si>
    <t>ARRECADAÇÃO TOTAL</t>
  </si>
  <si>
    <t>ÍNDICE DE ARRECADAÇÃO</t>
  </si>
  <si>
    <t>PERDA DE FATURAMENTO</t>
  </si>
  <si>
    <t>TABELA 16: COMPOSIÇÃO DO CUSTO</t>
  </si>
  <si>
    <t>PESSOAL OPERACIONAL</t>
  </si>
  <si>
    <t>ENERGIA ELÉTRICA</t>
  </si>
  <si>
    <t>PRODUTOS QUÍMICOS</t>
  </si>
  <si>
    <t>OUTROS CUSTOS</t>
  </si>
  <si>
    <t>TOTAL CUSTO OPERACIONAL</t>
  </si>
  <si>
    <t>PESSOAL ADM / COM.</t>
  </si>
  <si>
    <t>OUTRAS DESPESAS</t>
  </si>
  <si>
    <t>TOTAL DESPESAS ADMINISTRATIVAS</t>
  </si>
  <si>
    <t>DEPRECIAÇÃO</t>
  </si>
  <si>
    <t>TABELA 17: CRONOGRAMA DOS INVESTIMENTOS</t>
  </si>
  <si>
    <t>CRONOGRAMA FÍSICO-FINANCEIRO DE DESEMBOLSOS</t>
  </si>
  <si>
    <t>QUANT.</t>
  </si>
  <si>
    <t>UNID.</t>
  </si>
  <si>
    <t>PREÇO UNIT.</t>
  </si>
  <si>
    <t>PREÇO TOTAL</t>
  </si>
  <si>
    <t>MELHORIAS DOS SISTEMAS ATUAIS</t>
  </si>
  <si>
    <t>1.1</t>
  </si>
  <si>
    <t>MELHORIAS SISTEMA ÁGUA</t>
  </si>
  <si>
    <t>1.2</t>
  </si>
  <si>
    <t>MELHORIAS SISTEMA ESGOTO</t>
  </si>
  <si>
    <t>1.3</t>
  </si>
  <si>
    <t xml:space="preserve">MELHORIAS DESENVOLV. OPERAC. E MANUT. </t>
  </si>
  <si>
    <t>1.4</t>
  </si>
  <si>
    <t>MELHORIAS SISTEMA ATENDIMENTO /COMERCIAL</t>
  </si>
  <si>
    <t>2.1</t>
  </si>
  <si>
    <t>EXPANSÃO  ÁGUA</t>
  </si>
  <si>
    <t>2.2</t>
  </si>
  <si>
    <t>EXPANSÃO ESGOTO</t>
  </si>
  <si>
    <t>3.1</t>
  </si>
  <si>
    <t>RENOVAÇÃO ÁGUA</t>
  </si>
  <si>
    <t>3.2</t>
  </si>
  <si>
    <t>RENOVAÇÃO ESGOTO</t>
  </si>
  <si>
    <t>3.3</t>
  </si>
  <si>
    <t>RENOVAÇÃO OUTROS</t>
  </si>
  <si>
    <t>4.</t>
  </si>
  <si>
    <t>OUTROS INVESTIMENTOS</t>
  </si>
  <si>
    <t>TOTAL GERAL</t>
  </si>
  <si>
    <t>TABELA 18 : INVESTIMENTOS TOTAIS</t>
  </si>
  <si>
    <t>INVESTIMENTOS TOTAL</t>
  </si>
  <si>
    <t>ÁGUA TOTAL</t>
  </si>
  <si>
    <t>ESGOTO TOTAL</t>
  </si>
  <si>
    <t>OUTROS</t>
  </si>
  <si>
    <t>CONTAS</t>
  </si>
  <si>
    <t>ANO 01</t>
  </si>
  <si>
    <t>ANO 02</t>
  </si>
  <si>
    <t>ANO 04</t>
  </si>
  <si>
    <t>ANO 05</t>
  </si>
  <si>
    <t>ANO 06</t>
  </si>
  <si>
    <t>ANO 07</t>
  </si>
  <si>
    <t>ANO 08</t>
  </si>
  <si>
    <t>ANO 09</t>
  </si>
  <si>
    <t>ANO 10</t>
  </si>
  <si>
    <t>ANO 11</t>
  </si>
  <si>
    <t>ANO 12</t>
  </si>
  <si>
    <t>ANO 13</t>
  </si>
  <si>
    <t>ANO 14</t>
  </si>
  <si>
    <t>ANO 15</t>
  </si>
  <si>
    <t>ANO 16</t>
  </si>
  <si>
    <t>ANO 17</t>
  </si>
  <si>
    <t>ANO 18</t>
  </si>
  <si>
    <t>ANO 19</t>
  </si>
  <si>
    <t>ANO 20</t>
  </si>
  <si>
    <t>ANO 21</t>
  </si>
  <si>
    <t>ANO 22</t>
  </si>
  <si>
    <t>ANO 23</t>
  </si>
  <si>
    <t>ANO 24</t>
  </si>
  <si>
    <t>ANO 25</t>
  </si>
  <si>
    <t>ANO 26</t>
  </si>
  <si>
    <t>ANO 27</t>
  </si>
  <si>
    <t>ANO 28</t>
  </si>
  <si>
    <t>ANO 29</t>
  </si>
  <si>
    <t>ANO 30</t>
  </si>
  <si>
    <t>1. RECEITA OPERACIONAL BRUTA</t>
  </si>
  <si>
    <t xml:space="preserve">     1.1. Receita tarifas de água</t>
  </si>
  <si>
    <t xml:space="preserve">     1.2. Receita tarifas de esgoto</t>
  </si>
  <si>
    <t xml:space="preserve">     1.3. Receita serviços complementares</t>
  </si>
  <si>
    <t xml:space="preserve">2. DEDUÇÕES </t>
  </si>
  <si>
    <t xml:space="preserve">     2.1. Encargos COFINS</t>
  </si>
  <si>
    <t xml:space="preserve">     2.2. Encargos PIS - PASEP</t>
  </si>
  <si>
    <t>3. PERDAS POR INADIMPLÊNCIA</t>
  </si>
  <si>
    <t>4. RECEITA OPERACIONAL LÍQUIDA</t>
  </si>
  <si>
    <t>5. DESPESAS ADMINISTRATIVAS</t>
  </si>
  <si>
    <t>5.1. Pessoal Administrativo</t>
  </si>
  <si>
    <t>5.2. Outras Despesas</t>
  </si>
  <si>
    <t>6. CUSTO DE EXPLORAÇÃO</t>
  </si>
  <si>
    <t>6.1. Energia Elétrica</t>
  </si>
  <si>
    <t>6.2. Produtos Químicos</t>
  </si>
  <si>
    <t>6.3. Pessoal</t>
  </si>
  <si>
    <t>6.4. Outros Custos</t>
  </si>
  <si>
    <t>7. REGULAÇÃO E FISCALIZAÇÃO</t>
  </si>
  <si>
    <t>8. RESULTADO OPERACIONAL BRUTO</t>
  </si>
  <si>
    <t>9. DEPRECIAÇÃO DOS INVESTIMENTOS</t>
  </si>
  <si>
    <t>10.LUCRO LÍQUIDO ANTES DO IR E CSLL</t>
  </si>
  <si>
    <t>11. IMPOSTO DE RENDA E CONTRIBUIÇÃO SOCIAL</t>
  </si>
  <si>
    <t>11.1. Imposto de Renda</t>
  </si>
  <si>
    <t>11.2. Contribuição Social sobre Lucro Líquido</t>
  </si>
  <si>
    <t>12. RESULTADO LÍQUIDO DO EXERCÍCIO</t>
  </si>
  <si>
    <t>1. RESULTADO OPERACIONAL BRUTO</t>
  </si>
  <si>
    <t xml:space="preserve">          1.1.5. Outras receitas operacionais e não operacionais</t>
  </si>
  <si>
    <t>2. SAÍDAS</t>
  </si>
  <si>
    <t xml:space="preserve">     2.1. INVESTIMENTOS </t>
  </si>
  <si>
    <t xml:space="preserve">          2.1.1. Sistema de Abastecimento de Água</t>
  </si>
  <si>
    <t xml:space="preserve">          2.1.2. Sistema de Esgotamento Sanitario</t>
  </si>
  <si>
    <t xml:space="preserve">          2.1.3. Outros Investimentos</t>
  </si>
  <si>
    <t xml:space="preserve">     2.2. DESEMBOLSOS SOBRE O LUCRO</t>
  </si>
  <si>
    <t xml:space="preserve">        2.2.1. IRPJ</t>
  </si>
  <si>
    <t>2.2.2. CSLL</t>
  </si>
  <si>
    <t>3. SALDO DO CAIXA</t>
  </si>
  <si>
    <t>4. TIR</t>
  </si>
  <si>
    <t>TARIFA ATUAL</t>
  </si>
  <si>
    <t>K =</t>
  </si>
  <si>
    <t>ate 3ºano</t>
  </si>
  <si>
    <t>volume esgoto</t>
  </si>
  <si>
    <t>volume agua</t>
  </si>
  <si>
    <t>FATURAM TOTAL GS agua</t>
  </si>
  <si>
    <t>FATURAM TOTAL GS esgoto</t>
  </si>
  <si>
    <t>FATURAM TOTAL GS serviço</t>
  </si>
  <si>
    <t>FATURAM TOTAL GS total</t>
  </si>
  <si>
    <t>Reforma da captação e da estação elevatoria de água bruta (EEAB)</t>
  </si>
  <si>
    <t>VB.</t>
  </si>
  <si>
    <t>Reforma da estação de tratamento de água (ETA) e da casa de quimica</t>
  </si>
  <si>
    <t>Cadastro de consumidores</t>
  </si>
  <si>
    <t>Instalação de  hidrômetros em ligações existentes não hidrometradas</t>
  </si>
  <si>
    <t>Padronização de ligações</t>
  </si>
  <si>
    <t>M</t>
  </si>
  <si>
    <t>Substituição de rede de distribuição</t>
  </si>
  <si>
    <t>VALOR</t>
  </si>
  <si>
    <t xml:space="preserve">     DEPRECIACAO </t>
  </si>
  <si>
    <t>Hdrometros</t>
  </si>
  <si>
    <t>ANO 03</t>
  </si>
  <si>
    <t>VOLUME PRODUZIDO (m³/ano)</t>
  </si>
  <si>
    <t>VOLUME CONSUMIDO (m³/ano)</t>
  </si>
  <si>
    <t>VOLUME MICROMEDIDO (m³/ano)</t>
  </si>
  <si>
    <t>VOLUME FATURADO (m³ /ano)</t>
  </si>
  <si>
    <t>(VALORES EM R$)</t>
  </si>
  <si>
    <t>MAO DE OBRA</t>
  </si>
  <si>
    <t>ENERGIA</t>
  </si>
  <si>
    <t>TARIFA</t>
  </si>
  <si>
    <t>ENERGIA ELETRICA</t>
  </si>
  <si>
    <t>PRODUTO QUIMICO</t>
  </si>
  <si>
    <t xml:space="preserve">Substituição de hidrômetros </t>
  </si>
  <si>
    <t>SERVIÇOS DE ÁGUA</t>
  </si>
  <si>
    <t>Instalação de cavalete multiplo com hidrômeto:</t>
  </si>
  <si>
    <t xml:space="preserve">        Cavalete de diâmetro de 32 mm somente para hidrômetros de 1,5m³/h</t>
  </si>
  <si>
    <t xml:space="preserve">       Cavalete de diâmetro de 32 mm somente para hidrômetros de 3m³/h</t>
  </si>
  <si>
    <t>Inclusão de ligação em cavalete multiplo e instalação de hidrômetro</t>
  </si>
  <si>
    <t xml:space="preserve">      hidrômeto com capacidade até 1,5 m³/h</t>
  </si>
  <si>
    <t xml:space="preserve">      hidrômeto com capacidade até 3 m³/h</t>
  </si>
  <si>
    <t>Aferição de Hidrômetro com ou sem contastação de variação metrológica, independente da capacidade - a cada 3 anos (a pedido do usuário)</t>
  </si>
  <si>
    <t>Gratuito</t>
  </si>
  <si>
    <t>Aferição de Hidrômetro sem contastação de variação metrológica, conforme laudo (a pedido do usuário)</t>
  </si>
  <si>
    <t xml:space="preserve">      Com capacidade de 1,5 m³/h</t>
  </si>
  <si>
    <t xml:space="preserve">      Com capacidade de 3,0 m³/h</t>
  </si>
  <si>
    <t xml:space="preserve">      Com capacidade de 5 m³/h</t>
  </si>
  <si>
    <t xml:space="preserve">      Com capacidade de 7 m³/h</t>
  </si>
  <si>
    <t xml:space="preserve">      Com capacidade de 10 m³/h</t>
  </si>
  <si>
    <t xml:space="preserve">      Com capacidade de 20 m³/h</t>
  </si>
  <si>
    <t xml:space="preserve">      Com capacidade de 30 m³/h</t>
  </si>
  <si>
    <t xml:space="preserve">      Com capacidade de 300 m³/h</t>
  </si>
  <si>
    <t xml:space="preserve">      Com capacidade de 1100 m³/h</t>
  </si>
  <si>
    <t xml:space="preserve">      Com capacidade de 1800 m³/h</t>
  </si>
  <si>
    <t xml:space="preserve">      Com capacidade de 4000 m³/h</t>
  </si>
  <si>
    <t xml:space="preserve">      Com capacidade de 6500 m³/h</t>
  </si>
  <si>
    <t>Troca ou instalação de hidrômeto violado ou danificado ou por motivo de furto</t>
  </si>
  <si>
    <t>Troca de hidrômeto por desgaste normal, qualquer idade</t>
  </si>
  <si>
    <t>Substituição de ligação de água diâmetro até 32 mm e hidrômeto ate 3 m³/h</t>
  </si>
  <si>
    <t xml:space="preserve">       Sem reposição de pavimento</t>
  </si>
  <si>
    <t xml:space="preserve">      Com reposição de pavimento</t>
  </si>
  <si>
    <t>Ligação de água e instalação de hidrômeto, diâmetro ate 32mm e hidrômeto ate 3 m³/h</t>
  </si>
  <si>
    <t>Regularização de cavalete ate 32mm</t>
  </si>
  <si>
    <t>Registro de cavalete (troca por motivo de quebra ou vazamento)</t>
  </si>
  <si>
    <t>Corte do fornecimento no cavalete:</t>
  </si>
  <si>
    <t xml:space="preserve">       Corte por inadimplemento</t>
  </si>
  <si>
    <t>gratuito</t>
  </si>
  <si>
    <t xml:space="preserve">      Violação de dispositivo de lacre</t>
  </si>
  <si>
    <t>Supressão da ligação:</t>
  </si>
  <si>
    <t xml:space="preserve">       Por motivo de inadiplemento do pagamento das tarifas ou definitiva (por unificação, demolição e substiuição)</t>
  </si>
  <si>
    <t xml:space="preserve">       Por solicitação do usuário (imovel vago ou desocupado)</t>
  </si>
  <si>
    <t>Restabelecimento do forncecimento no cavalete (referente ao corte)</t>
  </si>
  <si>
    <t xml:space="preserve">       Por solicitação do usuário</t>
  </si>
  <si>
    <t xml:space="preserve">       Por imovel vago ou por debito de tarifa</t>
  </si>
  <si>
    <t>Religação (referente a supressão)</t>
  </si>
  <si>
    <t>SERVIÇOS DE ESGOTO</t>
  </si>
  <si>
    <t>Substituição de ligação de esgoto com reposição do pavimento de diâmetro de 150mm</t>
  </si>
  <si>
    <t>Substituição de ligação de esgoto sem reposição do pavimento de diâmetro de 150mm</t>
  </si>
  <si>
    <t>Desobstrução de esgoto - desentupimento de esgoto</t>
  </si>
  <si>
    <t>Ligação de esgoto:</t>
  </si>
  <si>
    <t xml:space="preserve">       Diâmetro 150mm sem reposição de pavimento</t>
  </si>
  <si>
    <t xml:space="preserve">       Diamentro 150mm com reposição de pavimento</t>
  </si>
  <si>
    <t>SERVIÇOS DE ÁGUA E ESGOTO</t>
  </si>
  <si>
    <t>Estudos</t>
  </si>
  <si>
    <t xml:space="preserve">       Prolongamento, duplicação ou remanejamento de rede de agua e esgoto</t>
  </si>
  <si>
    <t xml:space="preserve">       Levantamento de profundidade de ligação ou ramal</t>
  </si>
  <si>
    <t xml:space="preserve">      Dimensionamento de ramal predial (água e esgoto)</t>
  </si>
  <si>
    <t>Inspeção em pedido de ligação</t>
  </si>
  <si>
    <t xml:space="preserve">      Primeira inspeção</t>
  </si>
  <si>
    <t>gratuita</t>
  </si>
  <si>
    <t xml:space="preserve">       Segunda e demais inspeções</t>
  </si>
  <si>
    <t>Substituição ou modificação do ramal predial e restauração de muros e passeios, causados pelo prestador de serviço</t>
  </si>
  <si>
    <t>Restabelecimento ( referente ao corte) e/ou ligações (referente a supressão), por suspenção indevida do abastecimento de água ou a interrupção da coleta de esgoto</t>
  </si>
  <si>
    <t>OUTROS SERVIÇOS</t>
  </si>
  <si>
    <t>Emissão de segunda via</t>
  </si>
  <si>
    <t xml:space="preserve">       Por culpa do prestador de serviço</t>
  </si>
  <si>
    <t xml:space="preserve">       Solicitação e envio via correio ou email</t>
  </si>
  <si>
    <t>Atestado / Certidões negativas</t>
  </si>
  <si>
    <t xml:space="preserve">       Existência de projetos de redes de água e/ou esgoto em vias e/ou logradouros públicos</t>
  </si>
  <si>
    <t xml:space="preserve">       Existência de projeto de extensão ou reforço de rede de água e esgoto para projetos de loteamentos e condominios</t>
  </si>
  <si>
    <t xml:space="preserve">       Existência de rede de água e esgoto em vias, logradouros públicos, loteamentos, condominios e empreendimentos imobiliários</t>
  </si>
  <si>
    <t xml:space="preserve">      Existência de conexão a rede de água e/ou esgoto no imóvel</t>
  </si>
  <si>
    <t xml:space="preserve">       Recibo de quitação ou extensão de existência de débitos pendentes, solicitado pelo usuário, que tambem poderá ser enviado por meio eletronico, desde que autorizado pelo usuário</t>
  </si>
  <si>
    <t>Recibo de quitação ou atestado de existência de débitos pendentes, que tambem poderá ser enviado por meio eletrônico desde que autorizado pelo usuário</t>
  </si>
  <si>
    <t>tarifa atual TR</t>
  </si>
  <si>
    <r>
      <t>INVESTIMENTOS REDE DE ÁGUA P</t>
    </r>
    <r>
      <rPr>
        <b/>
        <sz val="7"/>
        <rFont val="AvantGarde Bk BT"/>
      </rPr>
      <t>UNIT</t>
    </r>
    <r>
      <rPr>
        <b/>
        <sz val="8"/>
        <rFont val="AvantGarde Bk BT"/>
      </rPr>
      <t xml:space="preserve"> </t>
    </r>
    <r>
      <rPr>
        <b/>
        <sz val="10"/>
        <rFont val="AvantGarde Bk BT"/>
      </rPr>
      <t>= R$102,00</t>
    </r>
  </si>
  <si>
    <t>Vazão de Perdas (L/s)</t>
  </si>
  <si>
    <t>PERDAS FÍSICA (%)</t>
  </si>
  <si>
    <r>
      <t>INVESTIMENTOS LIGAÇÕES ÁGUA P</t>
    </r>
    <r>
      <rPr>
        <b/>
        <sz val="7"/>
        <rFont val="AvantGarde Bk BT"/>
      </rPr>
      <t>UNIT</t>
    </r>
    <r>
      <rPr>
        <b/>
        <sz val="8"/>
        <rFont val="AvantGarde Bk BT"/>
      </rPr>
      <t xml:space="preserve"> </t>
    </r>
    <r>
      <rPr>
        <b/>
        <sz val="10"/>
        <rFont val="AvantGarde Bk BT"/>
      </rPr>
      <t>= R$200,00</t>
    </r>
  </si>
  <si>
    <r>
      <t>INVESTIMENTOS HIDRÔMETROS P</t>
    </r>
    <r>
      <rPr>
        <b/>
        <sz val="7"/>
        <rFont val="AvantGarde Bk BT"/>
      </rPr>
      <t>UNIT</t>
    </r>
    <r>
      <rPr>
        <b/>
        <sz val="8"/>
        <rFont val="AvantGarde Bk BT"/>
      </rPr>
      <t xml:space="preserve"> </t>
    </r>
    <r>
      <rPr>
        <b/>
        <sz val="10"/>
        <rFont val="AvantGarde Bk BT"/>
      </rPr>
      <t>= R$112,10</t>
    </r>
  </si>
  <si>
    <r>
      <t>INVESTIMENTOS REDE ESGOTO                  P</t>
    </r>
    <r>
      <rPr>
        <b/>
        <sz val="7"/>
        <rFont val="AvantGarde Bk BT"/>
      </rPr>
      <t>UNIT</t>
    </r>
    <r>
      <rPr>
        <b/>
        <sz val="8"/>
        <rFont val="AvantGarde Bk BT"/>
      </rPr>
      <t xml:space="preserve"> </t>
    </r>
    <r>
      <rPr>
        <b/>
        <sz val="10"/>
        <rFont val="AvantGarde Bk BT"/>
      </rPr>
      <t>= R$305,00</t>
    </r>
  </si>
  <si>
    <t>INVESTIMENTOS LIGAÇÕES ESGOTO Punit=R$204,00</t>
  </si>
  <si>
    <r>
      <t xml:space="preserve">PRODUTO: </t>
    </r>
    <r>
      <rPr>
        <b/>
        <i/>
        <sz val="11"/>
        <rFont val="Arial"/>
        <family val="2"/>
      </rPr>
      <t>sulfato de aluminio</t>
    </r>
  </si>
  <si>
    <t>ANO 1</t>
  </si>
  <si>
    <t>ANO 2</t>
  </si>
  <si>
    <t>ANO 3</t>
  </si>
  <si>
    <t>ANO 4</t>
  </si>
  <si>
    <t>ANO 5</t>
  </si>
  <si>
    <t>ANO 6</t>
  </si>
  <si>
    <t>ANO 7</t>
  </si>
  <si>
    <t>ANO 8</t>
  </si>
  <si>
    <t>ANO 9</t>
  </si>
  <si>
    <t>FINANCIAMENTO</t>
  </si>
  <si>
    <t>Ano 1</t>
  </si>
  <si>
    <t>Ano 2</t>
  </si>
  <si>
    <t>Ano 3</t>
  </si>
  <si>
    <t>Ano 4</t>
  </si>
  <si>
    <t>Ano 5</t>
  </si>
  <si>
    <t>Ano 6</t>
  </si>
  <si>
    <t>Ano 7</t>
  </si>
  <si>
    <t>Ano 8</t>
  </si>
  <si>
    <t>Ano 9</t>
  </si>
  <si>
    <t>Ano 10</t>
  </si>
  <si>
    <t>Ano 11</t>
  </si>
  <si>
    <t>Ano 12</t>
  </si>
  <si>
    <t>Ano 13</t>
  </si>
  <si>
    <t>Ano 14</t>
  </si>
  <si>
    <t>Ano 15</t>
  </si>
  <si>
    <t>Ano 16</t>
  </si>
  <si>
    <t>Ano 17</t>
  </si>
  <si>
    <t>Ano 18</t>
  </si>
  <si>
    <t>Ano 19</t>
  </si>
  <si>
    <t>Ano 20</t>
  </si>
  <si>
    <t>Ano 21</t>
  </si>
  <si>
    <t>Ano 22</t>
  </si>
  <si>
    <t>Ano 23</t>
  </si>
  <si>
    <t>Ano 24</t>
  </si>
  <si>
    <t>Ano 25</t>
  </si>
  <si>
    <t>Ano 26</t>
  </si>
  <si>
    <t>Ano 27</t>
  </si>
  <si>
    <t>Ano 28</t>
  </si>
  <si>
    <t>Ano 29</t>
  </si>
  <si>
    <t>Ano 30</t>
  </si>
  <si>
    <t>INVESTIMENTOS EM RENOVAÇÃO</t>
  </si>
  <si>
    <t>INVESTIMENTOS EM EXPANSÃO</t>
  </si>
  <si>
    <t>tarifa media agua original</t>
  </si>
  <si>
    <t>tarifa media agua corrigida</t>
  </si>
  <si>
    <t>tarifa média esgoto original</t>
  </si>
  <si>
    <t>tarifa media esgoto corrigida</t>
  </si>
  <si>
    <t>FATURAMENTO ESGOTO</t>
  </si>
  <si>
    <t>FATURAMENTO ÁGUA</t>
  </si>
  <si>
    <t>% coleta esgoto/água</t>
  </si>
  <si>
    <t>Aumento Água</t>
  </si>
  <si>
    <t>ORIGINAL</t>
  </si>
  <si>
    <t>MODIFICADO</t>
  </si>
  <si>
    <t>MÉDIA</t>
  </si>
  <si>
    <t>novos volume</t>
  </si>
  <si>
    <t>volumes originais</t>
  </si>
  <si>
    <t>EXPANSÕES</t>
  </si>
  <si>
    <t>Implantação de interceptores</t>
  </si>
  <si>
    <t>Implantação de estação de tratamento de esgoto (ETE + ETE compacta) - Sistema Sede</t>
  </si>
  <si>
    <t>RENOVAÇÃO</t>
  </si>
  <si>
    <t xml:space="preserve">TOTAL ANOS 1 A 3 &gt;&gt;&gt;  </t>
  </si>
  <si>
    <t>Modelo  Tabela 17 - Cronograma de Investimentos</t>
  </si>
  <si>
    <t>(Revisão Ordinária - Novembro/2018)</t>
  </si>
  <si>
    <t>Reforma de estações elevatórias de água tratada</t>
  </si>
  <si>
    <t xml:space="preserve">Valvulas </t>
  </si>
  <si>
    <t>Painel Elétrico</t>
  </si>
  <si>
    <t>Outros Materiais</t>
  </si>
  <si>
    <t>Bombas dosadoras</t>
  </si>
  <si>
    <t>Telemetria</t>
  </si>
  <si>
    <t>Reforma civil - EEA São Germano</t>
  </si>
  <si>
    <t>Troca de bomba submersível</t>
  </si>
  <si>
    <t>Implantação de EEA Bela Vista</t>
  </si>
  <si>
    <t>Troca de bombas - EEA Alto da Boa Vista</t>
  </si>
  <si>
    <t>Construção Civil - EEA Alto da Boa Vista</t>
  </si>
  <si>
    <t>Troca das bombas e paineis - EEA Cuba</t>
  </si>
  <si>
    <t>Troca de bomba - EEA São Guido</t>
  </si>
  <si>
    <t>Aquisição de equip. para manutenção</t>
  </si>
  <si>
    <t>Aquisição de equip. para laboratório</t>
  </si>
  <si>
    <t>Macromedidor</t>
  </si>
  <si>
    <t>Reservatório de Fluor</t>
  </si>
  <si>
    <t>Reformas para conseguir AVCB</t>
  </si>
  <si>
    <t>Reforma Caminhão PIPA</t>
  </si>
  <si>
    <t>Reforma de reservatórios</t>
  </si>
  <si>
    <t>Impermeabilização de reservatórios</t>
  </si>
  <si>
    <t>Reforma de poços</t>
  </si>
  <si>
    <t>Reforma do poço + clorador - Espirito Santo</t>
  </si>
  <si>
    <t>Reforma do Poço Colinas com troca de bomba</t>
  </si>
  <si>
    <t>Troca de bomba submersivel - Santa Edwirges</t>
  </si>
  <si>
    <t>Troca das bombas dosadoras de Fluor e Hipoclorito Teles Baixo</t>
  </si>
  <si>
    <t>Manutenção bomba - Teles Alto</t>
  </si>
  <si>
    <t>Troca da bomba - Teles Alto</t>
  </si>
  <si>
    <t>Implantação de sistemas de cloração</t>
  </si>
  <si>
    <t>Implantação de bomba dosadora - Cedro</t>
  </si>
  <si>
    <t>Implantação de sistemas de fluor</t>
  </si>
  <si>
    <t>Instalação de macromedidores</t>
  </si>
  <si>
    <t>Setorizações e adequações</t>
  </si>
  <si>
    <t>Estudo de setorização (projeto)</t>
  </si>
  <si>
    <t>Cadastro de consumidores e outras melhorias</t>
  </si>
  <si>
    <t>Compra de equipamentos Comercial</t>
  </si>
  <si>
    <t>Instalação de software Sansys - comercial</t>
  </si>
  <si>
    <t>Móveis para atendimento ao publico</t>
  </si>
  <si>
    <t>Implantação de ligações de agua</t>
  </si>
  <si>
    <t>Novas Ligações</t>
  </si>
  <si>
    <t>Implantação de redes de distribuição</t>
  </si>
  <si>
    <t>Implantação de 1100m de adutora - Colinas - São Germano</t>
  </si>
  <si>
    <t>Implantação de rede - 300m - Alferes - Dinho</t>
  </si>
  <si>
    <t>Implantação de poços profundos c/ clorador e fluor</t>
  </si>
  <si>
    <t>Implantação de ligações de esgoto</t>
  </si>
  <si>
    <t>Implantação de redes coletoras - diametro até 150mm</t>
  </si>
  <si>
    <t>Implantação de estações elevatórias de esgoto (EEE) e respectiva linha de recalque - 11 unidades</t>
  </si>
  <si>
    <t>Implantação de estações de tratamento de esgoto (ETE) - 5 unidades Sistemas Isolados</t>
  </si>
  <si>
    <t>INVESTIMENTOS REALIZADOS - VALORES NOMINAIS</t>
  </si>
  <si>
    <t>INVESTIMENTOS REALIZADOS - DATA BASE NOVEMBRO/2014</t>
  </si>
  <si>
    <t>REDE</t>
  </si>
  <si>
    <t>LIGAÇÃO</t>
  </si>
  <si>
    <t>HIDROMETROS</t>
  </si>
  <si>
    <t>SETORIZAÇÃO E SUBSTITUIÇÃO DE REDES DE DISTRIBUIÇÃO - SAA</t>
  </si>
  <si>
    <t>Obra </t>
  </si>
  <si>
    <t xml:space="preserve">Unidade </t>
  </si>
  <si>
    <t xml:space="preserve"> Quantidade </t>
  </si>
  <si>
    <t xml:space="preserve"> Valor unitário médio (R$) </t>
  </si>
  <si>
    <t xml:space="preserve"> Valor total (R$) </t>
  </si>
  <si>
    <t>Setorização localizadas</t>
  </si>
  <si>
    <t>vb.</t>
  </si>
  <si>
    <t>Setorização lineares</t>
  </si>
  <si>
    <t xml:space="preserve">m </t>
  </si>
  <si>
    <t>Substituição</t>
  </si>
  <si>
    <t>DISTRIBUIÇÃO FÍSICA DOS COLETORES TRONCO - SES</t>
  </si>
  <si>
    <t>Obra</t>
  </si>
  <si>
    <t>Extensão (m)</t>
  </si>
  <si>
    <t>CT Antonio Feliciano</t>
  </si>
  <si>
    <t>CT Bela Vista</t>
  </si>
  <si>
    <t>CT Paraíba 2</t>
  </si>
  <si>
    <t>CT Vila Modesto</t>
  </si>
  <si>
    <t>CT Paraíba 3</t>
  </si>
  <si>
    <t>CT Lavapés</t>
  </si>
  <si>
    <t>CT São Guido</t>
  </si>
  <si>
    <t>CT Laranjeiras</t>
  </si>
  <si>
    <t>CT Vila Amélia 1</t>
  </si>
  <si>
    <t>CT Vila Amélia 2</t>
  </si>
  <si>
    <t>CT Caracol 1</t>
  </si>
  <si>
    <t>CT Paraíba 1</t>
  </si>
  <si>
    <t>Total Coletores</t>
  </si>
  <si>
    <t>DISTRIBUIÇÃO FÍSICA DAS REDES COLETORAS - SES</t>
  </si>
  <si>
    <t>RC Alferes Bento</t>
  </si>
  <si>
    <t>RC Chororão</t>
  </si>
  <si>
    <t>RC Vila Amélia</t>
  </si>
  <si>
    <t>RC Cedro</t>
  </si>
  <si>
    <t>RC São Germano e Santa Edwiges</t>
  </si>
  <si>
    <t>RC Espirito Santo</t>
  </si>
  <si>
    <t>RC Teles</t>
  </si>
  <si>
    <t>Total Rede Coletora</t>
  </si>
  <si>
    <t>Calculado</t>
  </si>
  <si>
    <t>Adotado</t>
  </si>
  <si>
    <t>Valor na data base (nov/14)</t>
  </si>
  <si>
    <t>PROPOSTA</t>
  </si>
  <si>
    <t>TABELA 12 - ESTRUTURA TARIFÁRIA PROPOSTA</t>
  </si>
  <si>
    <t>REVISÃO ORDINÁRIA 2018</t>
  </si>
  <si>
    <t>TABELA 12 - ESTRUTURA TARIFÁRIA PROPOSTA - SERVIÇOS</t>
  </si>
  <si>
    <t>TABELA 20 - FLUXO DE CAIXA DO PROJETO SEM</t>
  </si>
  <si>
    <t>TIR original = 12,03%</t>
  </si>
  <si>
    <t>Captação Rio Paraiba do Sul</t>
  </si>
  <si>
    <t>ÁGUA - CONTRATO</t>
  </si>
  <si>
    <t>ÁGUA - PREVISTO</t>
  </si>
  <si>
    <t>ÁGUA - MAIS EFICIENTE</t>
  </si>
  <si>
    <t>Mês</t>
  </si>
  <si>
    <t>CE (kWh)</t>
  </si>
  <si>
    <t>Volume (m³)</t>
  </si>
  <si>
    <t>Hm (m)</t>
  </si>
  <si>
    <t>CEN (kWh/m³.100m)</t>
  </si>
  <si>
    <t>Rendimento (%)</t>
  </si>
  <si>
    <t>Ano</t>
  </si>
  <si>
    <t>kWh/1000</t>
  </si>
  <si>
    <t>R$ (com tarifa R$0,46084/m³)</t>
  </si>
  <si>
    <t>Média</t>
  </si>
  <si>
    <t>Ef. Possível</t>
  </si>
  <si>
    <t xml:space="preserve">Fator de Recuperação </t>
  </si>
  <si>
    <t>Diferença (R$)</t>
  </si>
  <si>
    <t>Diferença (%)</t>
  </si>
  <si>
    <t>2015-2016</t>
  </si>
  <si>
    <t>2016-2017</t>
  </si>
  <si>
    <t>2017-2018</t>
  </si>
  <si>
    <t>2018-2019</t>
  </si>
  <si>
    <t>2019-2020</t>
  </si>
  <si>
    <t>2020-2021</t>
  </si>
  <si>
    <t>2021-2022</t>
  </si>
  <si>
    <t>2022-2023</t>
  </si>
  <si>
    <t>2023-2024</t>
  </si>
  <si>
    <t>2024-2025</t>
  </si>
  <si>
    <t>2025-2026</t>
  </si>
  <si>
    <t>2026-2027</t>
  </si>
  <si>
    <t>2027-2028</t>
  </si>
  <si>
    <t>2028-2029</t>
  </si>
  <si>
    <t>2029-2030</t>
  </si>
  <si>
    <t>ARES-PCJ</t>
  </si>
  <si>
    <t xml:space="preserve">Reforma da estação elevatória de água tratada - EEAT 1 e 2 (SS) e EEAT 3 (SI São Germano) </t>
  </si>
  <si>
    <t>Reforma de reservatórios (2 reservatorios SS)</t>
  </si>
  <si>
    <t>Reforma do poço + clorador</t>
  </si>
  <si>
    <t>Implantação do sistema de cloração de 0,7L/s</t>
  </si>
  <si>
    <t>Implantação do sistema de fluor</t>
  </si>
  <si>
    <t>Instalação de macromedidores - tipo Woltman (Nas saidas ETA(2) e nos 5 poços SI)</t>
  </si>
  <si>
    <t>Setorização e adequação</t>
  </si>
  <si>
    <t>Implantação de ligação de agua</t>
  </si>
  <si>
    <t>Implantação de rede de distribuição</t>
  </si>
  <si>
    <t>Implantação de poço profundo c/ clorador e fluor (SI Teles)</t>
  </si>
  <si>
    <t>Implantação de ligação de esgoto</t>
  </si>
  <si>
    <t>Implantação de rede coletora - diametro até 150mm</t>
  </si>
  <si>
    <t>Implantação de estação elevatória de esgoto (EEE) e sua respectiva linha de recalque (Sistema Sede) - 3 unidades</t>
  </si>
  <si>
    <t>Implantação de estação de tratamento de esgoto (ETE) - 6 unidades Sistemas Isolados</t>
  </si>
  <si>
    <t>IMPACTO RES. SOCIAL</t>
  </si>
  <si>
    <t>ACESSO A RES. SOCIAL</t>
  </si>
  <si>
    <t>Proporção E/A</t>
  </si>
  <si>
    <t>PROPORÇÃO ESGOTO</t>
  </si>
  <si>
    <t>REAJUSTES</t>
  </si>
  <si>
    <t xml:space="preserve">OBS: ATUALIZADO COM DREs </t>
  </si>
  <si>
    <t>OBS: ATUALIZADO CONFORME PROJEÇÃO GRÁFICA - RECEITA ÁGUA</t>
  </si>
  <si>
    <t>CDHU</t>
  </si>
  <si>
    <t>Bela Vista II</t>
  </si>
  <si>
    <t>Cedro Alto</t>
  </si>
  <si>
    <t>Vide Planilha: COMPONENTES - Paraibuna 2019 3</t>
  </si>
  <si>
    <t>1) TAXA DE REGULAÇÃO; 2) REPROGRAMAÇÃO INVESTIMENTOS; 3) RECEITAS REAIS, DEDUÇÕES (PIS, COFINS) E INADIMPLÊNCIA CONFORME DREs; 4) PROJEÇÃO RECEITA ÁGUA ANO 5</t>
  </si>
  <si>
    <t>PLEITO CAEPA</t>
  </si>
  <si>
    <t>FATURAMENTO</t>
  </si>
  <si>
    <t>-</t>
  </si>
  <si>
    <t>TABELA 19 - DEMONSTRATIVO DO RESULTADO DO EXERCÍCIO SEM FINANCIAMENTO</t>
  </si>
  <si>
    <t>IMPACTO 1ª RO</t>
  </si>
  <si>
    <t>IMPACTO 2ª RO</t>
  </si>
  <si>
    <t>IRT</t>
  </si>
  <si>
    <t xml:space="preserve">
AVALIAÇÃO ARES-PCJ
2ª RO</t>
  </si>
  <si>
    <t>Curto Prazo</t>
  </si>
  <si>
    <t>Longo Prazo</t>
  </si>
  <si>
    <t>ROB Original (1ª RO)</t>
  </si>
  <si>
    <t>Ano 06</t>
  </si>
  <si>
    <t>Ano 07</t>
  </si>
  <si>
    <t>Ano 08</t>
  </si>
  <si>
    <t>Ano 09</t>
  </si>
  <si>
    <t>(-)</t>
  </si>
  <si>
    <t>ROB Reavaliação 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</si>
</sst>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9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0000_);_(* \(#,##0.000000\);_(* &quot;-&quot;??????_);_(@_)"/>
    <numFmt numFmtId="166" formatCode="#,##0.000"/>
    <numFmt numFmtId="167" formatCode="0.000000000"/>
    <numFmt numFmtId="168" formatCode="_(* #,##0_);_(* \(#,##0\);_(* &quot;-&quot;??_);_(@_)"/>
    <numFmt numFmtId="169" formatCode="0.0000"/>
    <numFmt numFmtId="170" formatCode="#,##0.0000"/>
    <numFmt numFmtId="171" formatCode="_-* #,##0.000_-;\-* #,##0.000_-;_-* &quot;-&quot;??_-;_-@_-"/>
    <numFmt numFmtId="172" formatCode="[$-416]d\-mmm\-yy;@"/>
    <numFmt numFmtId="173" formatCode="_(&quot;R$ &quot;* #,##0.00_);_(&quot;R$ &quot;* \(#,##0.00\);_(&quot;R$ &quot;* &quot;-&quot;??_);_(@_)"/>
    <numFmt numFmtId="174" formatCode="&quot;R$ &quot;#,##0"/>
    <numFmt numFmtId="175" formatCode="_-* #,##0_-;\-* #,##0_-;_-* &quot;-&quot;??_-;_-@_-"/>
    <numFmt numFmtId="176" formatCode="0.0000%"/>
    <numFmt numFmtId="177" formatCode="General_)"/>
    <numFmt numFmtId="178" formatCode="0\ &quot;ANOS&quot;"/>
    <numFmt numFmtId="179" formatCode="0.00_)"/>
    <numFmt numFmtId="180" formatCode="#,##0.0000;[Red]\-#,##0.0000"/>
    <numFmt numFmtId="181" formatCode="&quot;R$ &quot;#,##0.00"/>
    <numFmt numFmtId="182" formatCode="&quot;R$ &quot;#,##0.0000"/>
    <numFmt numFmtId="183" formatCode="_(* #,##0.00000_);_(* \(#,##0.00000\);_(* &quot;-&quot;??_);_(@_)"/>
    <numFmt numFmtId="184" formatCode="0.00000"/>
    <numFmt numFmtId="185" formatCode="0.0%"/>
    <numFmt numFmtId="186" formatCode="#,##0.0"/>
    <numFmt numFmtId="187" formatCode="0.000%"/>
    <numFmt numFmtId="188" formatCode="&quot;R$&quot;#,##0.00"/>
    <numFmt numFmtId="189" formatCode="#,##0.0000;\-#,##0.0000"/>
  </numFmts>
  <fonts count="96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vantGarde Bk BT"/>
      <family val="2"/>
    </font>
    <font>
      <sz val="14"/>
      <name val="AvantGarde Bk BT"/>
      <family val="2"/>
    </font>
    <font>
      <sz val="10"/>
      <name val="AvantGarde Bk BT"/>
      <family val="2"/>
    </font>
    <font>
      <b/>
      <sz val="10"/>
      <name val="AvantGarde Bk BT"/>
      <family val="2"/>
    </font>
    <font>
      <b/>
      <sz val="10"/>
      <name val="AvantGarde Bk BT"/>
    </font>
    <font>
      <sz val="10"/>
      <name val="AvantGarde Bk BT"/>
    </font>
    <font>
      <sz val="9"/>
      <name val="AvantGarde Bk BT"/>
    </font>
    <font>
      <b/>
      <sz val="8"/>
      <name val="AvantGarde Bk BT"/>
    </font>
    <font>
      <b/>
      <sz val="7"/>
      <name val="AvantGarde Bk BT"/>
    </font>
    <font>
      <sz val="8"/>
      <name val="Arial"/>
      <family val="2"/>
    </font>
    <font>
      <sz val="10"/>
      <name val="Arial Narrow"/>
      <family val="2"/>
    </font>
    <font>
      <b/>
      <sz val="11"/>
      <name val="AvantGarde Bk BT"/>
      <family val="2"/>
    </font>
    <font>
      <b/>
      <sz val="12"/>
      <name val="AvantGarde Bk BT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4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0"/>
      <color theme="0" tint="-0.34998626667073579"/>
      <name val="Arial"/>
      <family val="2"/>
    </font>
    <font>
      <sz val="9"/>
      <color theme="0" tint="-0.34998626667073579"/>
      <name val="Arial"/>
      <family val="2"/>
    </font>
    <font>
      <sz val="9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14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9"/>
      <name val="Tahoma"/>
      <family val="2"/>
    </font>
    <font>
      <sz val="9"/>
      <color theme="1"/>
      <name val="Tahoma"/>
      <family val="2"/>
    </font>
    <font>
      <b/>
      <sz val="8"/>
      <name val="Tahoma"/>
      <family val="2"/>
    </font>
    <font>
      <b/>
      <sz val="9"/>
      <name val="Tahoma"/>
      <family val="2"/>
    </font>
    <font>
      <b/>
      <sz val="9"/>
      <color indexed="8"/>
      <name val="Tahoma"/>
      <family val="2"/>
    </font>
    <font>
      <b/>
      <sz val="9"/>
      <color theme="1"/>
      <name val="Tahoma"/>
      <family val="2"/>
    </font>
    <font>
      <b/>
      <sz val="16"/>
      <name val="Calibri"/>
      <family val="2"/>
      <scheme val="minor"/>
    </font>
    <font>
      <sz val="10"/>
      <name val="Calibri"/>
      <family val="2"/>
    </font>
    <font>
      <sz val="10"/>
      <name val="Courier"/>
      <family val="3"/>
    </font>
    <font>
      <b/>
      <sz val="8"/>
      <name val="Calibri"/>
      <family val="2"/>
      <scheme val="minor"/>
    </font>
    <font>
      <b/>
      <sz val="12"/>
      <name val="Arial"/>
      <family val="2"/>
    </font>
    <font>
      <b/>
      <i/>
      <sz val="11"/>
      <name val="Arial"/>
      <family val="2"/>
    </font>
    <font>
      <sz val="11"/>
      <color theme="1"/>
      <name val="Arial"/>
      <family val="2"/>
    </font>
    <font>
      <sz val="9"/>
      <name val="Calibri"/>
      <family val="2"/>
    </font>
    <font>
      <sz val="14"/>
      <name val="Calibri"/>
      <family val="2"/>
    </font>
    <font>
      <b/>
      <sz val="14"/>
      <name val="Calibri"/>
      <family val="2"/>
    </font>
    <font>
      <sz val="11"/>
      <name val="Calibri"/>
      <family val="2"/>
    </font>
    <font>
      <b/>
      <sz val="9"/>
      <name val="Calibri"/>
      <family val="2"/>
    </font>
    <font>
      <sz val="14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rgb="FFFF0000"/>
      <name val="Arial"/>
      <family val="2"/>
    </font>
    <font>
      <b/>
      <sz val="14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0070C0"/>
      <name val="Arial"/>
      <family val="2"/>
    </font>
    <font>
      <b/>
      <sz val="11"/>
      <color rgb="FF0070C0"/>
      <name val="Arial"/>
      <family val="2"/>
    </font>
    <font>
      <b/>
      <sz val="11"/>
      <color theme="4"/>
      <name val="Arial"/>
      <family val="2"/>
    </font>
    <font>
      <b/>
      <sz val="14"/>
      <color theme="4"/>
      <name val="Calibri"/>
      <family val="2"/>
      <scheme val="minor"/>
    </font>
    <font>
      <sz val="9"/>
      <color rgb="FFFF0000"/>
      <name val="Tahoma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9"/>
      <color rgb="FFFF0000"/>
      <name val="Tahoma"/>
      <family val="2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9"/>
      <color rgb="FFFF0000"/>
      <name val="Calibri"/>
      <family val="2"/>
      <scheme val="minor"/>
    </font>
    <font>
      <b/>
      <sz val="14"/>
      <color rgb="FF0070C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9"/>
      <color indexed="62"/>
      <name val="Calibri"/>
      <family val="2"/>
    </font>
    <font>
      <sz val="10"/>
      <name val="Aptos Narrow"/>
      <family val="2"/>
    </font>
    <font>
      <b/>
      <sz val="10"/>
      <name val="Aptos Narrow"/>
      <family val="2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5B9BD5"/>
        <bgColor indexed="64"/>
      </patternFill>
    </fill>
    <fill>
      <patternFill patternType="solid">
        <fgColor rgb="FF0070C0"/>
        <bgColor indexed="64"/>
      </patternFill>
    </fill>
  </fills>
  <borders count="20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theme="4" tint="0.79998168889431442"/>
      </bottom>
      <diagonal/>
    </border>
    <border>
      <left style="medium">
        <color indexed="64"/>
      </left>
      <right style="medium">
        <color indexed="64"/>
      </right>
      <top/>
      <bottom style="hair">
        <color theme="4" tint="0.79998168889431442"/>
      </bottom>
      <diagonal/>
    </border>
    <border>
      <left style="thin">
        <color indexed="64"/>
      </left>
      <right/>
      <top style="hair">
        <color theme="3" tint="0.79998168889431442"/>
      </top>
      <bottom style="hair">
        <color theme="3" tint="0.79998168889431442"/>
      </bottom>
      <diagonal/>
    </border>
    <border>
      <left style="medium">
        <color indexed="64"/>
      </left>
      <right style="medium">
        <color indexed="64"/>
      </right>
      <top style="hair">
        <color theme="3" tint="0.79998168889431442"/>
      </top>
      <bottom style="hair">
        <color theme="3" tint="0.79998168889431442"/>
      </bottom>
      <diagonal/>
    </border>
    <border>
      <left style="medium">
        <color indexed="64"/>
      </left>
      <right style="medium">
        <color indexed="64"/>
      </right>
      <top style="hair">
        <color theme="4" tint="0.79998168889431442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hair">
        <color theme="4" tint="0.79998168889431442"/>
      </bottom>
      <diagonal/>
    </border>
    <border>
      <left style="thin">
        <color indexed="64"/>
      </left>
      <right style="thin">
        <color indexed="64"/>
      </right>
      <top/>
      <bottom style="hair">
        <color theme="3" tint="0.79998168889431442"/>
      </bottom>
      <diagonal/>
    </border>
    <border>
      <left style="thin">
        <color indexed="64"/>
      </left>
      <right/>
      <top/>
      <bottom style="hair">
        <color theme="3" tint="0.79998168889431442"/>
      </bottom>
      <diagonal/>
    </border>
    <border>
      <left style="medium">
        <color indexed="64"/>
      </left>
      <right style="thin">
        <color indexed="64"/>
      </right>
      <top/>
      <bottom style="hair">
        <color theme="4" tint="0.79998168889431442"/>
      </bottom>
      <diagonal/>
    </border>
    <border>
      <left style="thin">
        <color indexed="64"/>
      </left>
      <right style="thin">
        <color indexed="64"/>
      </right>
      <top style="hair">
        <color theme="3" tint="0.79998168889431442"/>
      </top>
      <bottom style="hair">
        <color theme="3" tint="0.79998168889431442"/>
      </bottom>
      <diagonal/>
    </border>
    <border>
      <left style="thin">
        <color indexed="64"/>
      </left>
      <right style="thin">
        <color indexed="64"/>
      </right>
      <top style="hair">
        <color theme="3" tint="0.79998168889431442"/>
      </top>
      <bottom style="medium">
        <color indexed="64"/>
      </bottom>
      <diagonal/>
    </border>
    <border>
      <left style="thin">
        <color indexed="64"/>
      </left>
      <right/>
      <top style="hair">
        <color theme="3" tint="0.79998168889431442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theme="3" tint="0.7999816888943144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theme="3" tint="0.79998168889431442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hair">
        <color theme="3" tint="0.79998168889431442"/>
      </top>
      <bottom style="medium">
        <color indexed="64"/>
      </bottom>
      <diagonal/>
    </border>
    <border>
      <left/>
      <right/>
      <top/>
      <bottom style="hair">
        <color theme="3" tint="0.79998168889431442"/>
      </bottom>
      <diagonal/>
    </border>
    <border>
      <left/>
      <right/>
      <top style="hair">
        <color theme="3" tint="0.7999816888943144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hair">
        <color theme="3" tint="0.79998168889431442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double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theme="4" tint="0.7999816888943144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theme="4" tint="0.79998168889431442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theme="4" tint="0.79998168889431442"/>
      </top>
      <bottom/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rgb="FF5B9BD5"/>
      </left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/>
      <right/>
      <top/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/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 style="medium">
        <color rgb="FFFF0000"/>
      </right>
      <top/>
      <bottom/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/>
      <right/>
      <top/>
      <bottom style="medium">
        <color rgb="FF0070C0"/>
      </bottom>
      <diagonal/>
    </border>
    <border>
      <left style="medium">
        <color rgb="FF00B050"/>
      </left>
      <right/>
      <top style="medium">
        <color rgb="FF00B050"/>
      </top>
      <bottom/>
      <diagonal/>
    </border>
    <border>
      <left/>
      <right/>
      <top style="medium">
        <color rgb="FF00B050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/>
      <top/>
      <bottom style="medium">
        <color rgb="FF00B050"/>
      </bottom>
      <diagonal/>
    </border>
    <border>
      <left/>
      <right/>
      <top/>
      <bottom style="medium">
        <color rgb="FF00B050"/>
      </bottom>
      <diagonal/>
    </border>
    <border>
      <left/>
      <right style="medium">
        <color rgb="FF00B050"/>
      </right>
      <top/>
      <bottom style="medium">
        <color rgb="FF00B050"/>
      </bottom>
      <diagonal/>
    </border>
  </borders>
  <cellStyleXfs count="92">
    <xf numFmtId="0" fontId="0" fillId="0" borderId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7" fontId="13" fillId="0" borderId="0"/>
    <xf numFmtId="44" fontId="27" fillId="0" borderId="0" applyFont="0" applyFill="0" applyBorder="0" applyAlignment="0" applyProtection="0"/>
    <xf numFmtId="16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2" fillId="0" borderId="0"/>
    <xf numFmtId="177" fontId="44" fillId="0" borderId="0"/>
    <xf numFmtId="164" fontId="2" fillId="0" borderId="0" applyFont="0" applyFill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18" borderId="0" applyNumberFormat="0" applyBorder="0" applyAlignment="0" applyProtection="0"/>
    <xf numFmtId="0" fontId="72" fillId="19" borderId="0" applyNumberFormat="0" applyBorder="0" applyAlignment="0" applyProtection="0"/>
    <xf numFmtId="0" fontId="72" fillId="20" borderId="0" applyNumberFormat="0" applyBorder="0" applyAlignment="0" applyProtection="0"/>
    <xf numFmtId="0" fontId="72" fillId="21" borderId="0" applyNumberFormat="0" applyBorder="0" applyAlignment="0" applyProtection="0"/>
    <xf numFmtId="0" fontId="72" fillId="16" borderId="0" applyNumberFormat="0" applyBorder="0" applyAlignment="0" applyProtection="0"/>
    <xf numFmtId="0" fontId="72" fillId="17" borderId="0" applyNumberFormat="0" applyBorder="0" applyAlignment="0" applyProtection="0"/>
    <xf numFmtId="0" fontId="72" fillId="18" borderId="0" applyNumberFormat="0" applyBorder="0" applyAlignment="0" applyProtection="0"/>
    <xf numFmtId="0" fontId="72" fillId="19" borderId="0" applyNumberFormat="0" applyBorder="0" applyAlignment="0" applyProtection="0"/>
    <xf numFmtId="0" fontId="72" fillId="20" borderId="0" applyNumberFormat="0" applyBorder="0" applyAlignment="0" applyProtection="0"/>
    <xf numFmtId="0" fontId="72" fillId="22" borderId="0" applyNumberFormat="0" applyBorder="0" applyAlignment="0" applyProtection="0"/>
    <xf numFmtId="0" fontId="72" fillId="23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19" borderId="0" applyNumberFormat="0" applyBorder="0" applyAlignment="0" applyProtection="0"/>
    <xf numFmtId="0" fontId="72" fillId="23" borderId="0" applyNumberFormat="0" applyBorder="0" applyAlignment="0" applyProtection="0"/>
    <xf numFmtId="0" fontId="72" fillId="26" borderId="0" applyNumberFormat="0" applyBorder="0" applyAlignment="0" applyProtection="0"/>
    <xf numFmtId="0" fontId="72" fillId="23" borderId="0" applyNumberFormat="0" applyBorder="0" applyAlignment="0" applyProtection="0"/>
    <xf numFmtId="0" fontId="72" fillId="24" borderId="0" applyNumberFormat="0" applyBorder="0" applyAlignment="0" applyProtection="0"/>
    <xf numFmtId="0" fontId="72" fillId="25" borderId="0" applyNumberFormat="0" applyBorder="0" applyAlignment="0" applyProtection="0"/>
    <xf numFmtId="0" fontId="72" fillId="19" borderId="0" applyNumberFormat="0" applyBorder="0" applyAlignment="0" applyProtection="0"/>
    <xf numFmtId="0" fontId="72" fillId="23" borderId="0" applyNumberFormat="0" applyBorder="0" applyAlignment="0" applyProtection="0"/>
    <xf numFmtId="0" fontId="72" fillId="26" borderId="0" applyNumberFormat="0" applyBorder="0" applyAlignment="0" applyProtection="0"/>
    <xf numFmtId="0" fontId="78" fillId="27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0" borderId="0" applyNumberFormat="0" applyBorder="0" applyAlignment="0" applyProtection="0"/>
    <xf numFmtId="0" fontId="78" fillId="27" borderId="0" applyNumberFormat="0" applyBorder="0" applyAlignment="0" applyProtection="0"/>
    <xf numFmtId="0" fontId="78" fillId="24" borderId="0" applyNumberFormat="0" applyBorder="0" applyAlignment="0" applyProtection="0"/>
    <xf numFmtId="0" fontId="78" fillId="25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0" borderId="0" applyNumberFormat="0" applyBorder="0" applyAlignment="0" applyProtection="0"/>
    <xf numFmtId="0" fontId="78" fillId="31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4" borderId="0" applyNumberFormat="0" applyBorder="0" applyAlignment="0" applyProtection="0"/>
    <xf numFmtId="0" fontId="83" fillId="17" borderId="0" applyNumberFormat="0" applyBorder="0" applyAlignment="0" applyProtection="0"/>
    <xf numFmtId="0" fontId="79" fillId="18" borderId="0" applyNumberFormat="0" applyBorder="0" applyAlignment="0" applyProtection="0"/>
    <xf numFmtId="0" fontId="80" fillId="22" borderId="175" applyNumberFormat="0" applyAlignment="0" applyProtection="0"/>
    <xf numFmtId="0" fontId="80" fillId="22" borderId="175" applyNumberFormat="0" applyAlignment="0" applyProtection="0"/>
    <xf numFmtId="0" fontId="81" fillId="35" borderId="176" applyNumberFormat="0" applyAlignment="0" applyProtection="0"/>
    <xf numFmtId="0" fontId="73" fillId="0" borderId="177" applyNumberFormat="0" applyFill="0" applyAlignment="0" applyProtection="0"/>
    <xf numFmtId="0" fontId="81" fillId="35" borderId="176" applyNumberFormat="0" applyAlignment="0" applyProtection="0"/>
    <xf numFmtId="0" fontId="78" fillId="31" borderId="0" applyNumberFormat="0" applyBorder="0" applyAlignment="0" applyProtection="0"/>
    <xf numFmtId="0" fontId="78" fillId="32" borderId="0" applyNumberFormat="0" applyBorder="0" applyAlignment="0" applyProtection="0"/>
    <xf numFmtId="0" fontId="78" fillId="33" borderId="0" applyNumberFormat="0" applyBorder="0" applyAlignment="0" applyProtection="0"/>
    <xf numFmtId="0" fontId="78" fillId="28" borderId="0" applyNumberFormat="0" applyBorder="0" applyAlignment="0" applyProtection="0"/>
    <xf numFmtId="0" fontId="78" fillId="29" borderId="0" applyNumberFormat="0" applyBorder="0" applyAlignment="0" applyProtection="0"/>
    <xf numFmtId="0" fontId="78" fillId="34" borderId="0" applyNumberFormat="0" applyBorder="0" applyAlignment="0" applyProtection="0"/>
    <xf numFmtId="0" fontId="82" fillId="22" borderId="175" applyNumberFormat="0" applyAlignment="0" applyProtection="0"/>
    <xf numFmtId="0" fontId="87" fillId="0" borderId="0" applyNumberFormat="0" applyFill="0" applyBorder="0" applyAlignment="0" applyProtection="0"/>
    <xf numFmtId="0" fontId="79" fillId="18" borderId="0" applyNumberFormat="0" applyBorder="0" applyAlignment="0" applyProtection="0"/>
    <xf numFmtId="0" fontId="75" fillId="0" borderId="178" applyNumberFormat="0" applyFill="0" applyAlignment="0" applyProtection="0"/>
    <xf numFmtId="0" fontId="76" fillId="0" borderId="179" applyNumberFormat="0" applyFill="0" applyAlignment="0" applyProtection="0"/>
    <xf numFmtId="0" fontId="77" fillId="0" borderId="180" applyNumberFormat="0" applyFill="0" applyAlignment="0" applyProtection="0"/>
    <xf numFmtId="0" fontId="77" fillId="0" borderId="0" applyNumberFormat="0" applyFill="0" applyBorder="0" applyAlignment="0" applyProtection="0"/>
    <xf numFmtId="0" fontId="82" fillId="21" borderId="175" applyNumberFormat="0" applyAlignment="0" applyProtection="0"/>
    <xf numFmtId="0" fontId="73" fillId="0" borderId="177" applyNumberFormat="0" applyFill="0" applyAlignment="0" applyProtection="0"/>
    <xf numFmtId="0" fontId="84" fillId="36" borderId="0" applyNumberFormat="0" applyBorder="0" applyAlignment="0" applyProtection="0"/>
    <xf numFmtId="0" fontId="2" fillId="37" borderId="181" applyNumberFormat="0" applyFont="0" applyAlignment="0" applyProtection="0"/>
    <xf numFmtId="0" fontId="72" fillId="37" borderId="181" applyNumberFormat="0" applyFont="0" applyAlignment="0" applyProtection="0"/>
    <xf numFmtId="0" fontId="85" fillId="22" borderId="182" applyNumberFormat="0" applyAlignment="0" applyProtection="0"/>
    <xf numFmtId="0" fontId="85" fillId="22" borderId="182" applyNumberFormat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178" applyNumberFormat="0" applyFill="0" applyAlignment="0" applyProtection="0"/>
    <xf numFmtId="0" fontId="76" fillId="0" borderId="179" applyNumberFormat="0" applyFill="0" applyAlignment="0" applyProtection="0"/>
    <xf numFmtId="0" fontId="77" fillId="0" borderId="180" applyNumberFormat="0" applyFill="0" applyAlignment="0" applyProtection="0"/>
    <xf numFmtId="0" fontId="77" fillId="0" borderId="0" applyNumberFormat="0" applyFill="0" applyBorder="0" applyAlignment="0" applyProtection="0"/>
    <xf numFmtId="0" fontId="88" fillId="0" borderId="183" applyNumberFormat="0" applyFill="0" applyAlignment="0" applyProtection="0"/>
    <xf numFmtId="0" fontId="86" fillId="0" borderId="0" applyNumberForma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338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164" fontId="5" fillId="0" borderId="0" xfId="3" applyFont="1" applyAlignment="1">
      <alignment vertical="center"/>
    </xf>
    <xf numFmtId="4" fontId="5" fillId="0" borderId="0" xfId="0" applyNumberFormat="1" applyFont="1" applyAlignment="1">
      <alignment vertical="center"/>
    </xf>
    <xf numFmtId="0" fontId="0" fillId="0" borderId="0" xfId="0" applyAlignment="1">
      <alignment horizontal="center"/>
    </xf>
    <xf numFmtId="164" fontId="5" fillId="0" borderId="0" xfId="3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7" fontId="0" fillId="0" borderId="0" xfId="0" applyNumberFormat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3" fontId="9" fillId="0" borderId="6" xfId="0" applyNumberFormat="1" applyFont="1" applyBorder="1" applyAlignment="1">
      <alignment horizontal="center" vertical="center"/>
    </xf>
    <xf numFmtId="4" fontId="9" fillId="0" borderId="5" xfId="0" applyNumberFormat="1" applyFont="1" applyBorder="1" applyAlignment="1">
      <alignment horizontal="center" vertical="center"/>
    </xf>
    <xf numFmtId="4" fontId="9" fillId="0" borderId="7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6" fillId="0" borderId="17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3" fontId="9" fillId="0" borderId="24" xfId="0" applyNumberFormat="1" applyFont="1" applyBorder="1" applyAlignment="1">
      <alignment horizontal="center" vertical="center"/>
    </xf>
    <xf numFmtId="4" fontId="9" fillId="0" borderId="2" xfId="0" applyNumberFormat="1" applyFont="1" applyBorder="1" applyAlignment="1">
      <alignment horizontal="center" vertical="center"/>
    </xf>
    <xf numFmtId="3" fontId="9" fillId="0" borderId="2" xfId="0" applyNumberFormat="1" applyFont="1" applyBorder="1" applyAlignment="1">
      <alignment horizontal="center" vertical="center"/>
    </xf>
    <xf numFmtId="4" fontId="9" fillId="0" borderId="11" xfId="0" applyNumberFormat="1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7" fillId="0" borderId="43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6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2" fillId="0" borderId="12" xfId="0" applyFont="1" applyBorder="1" applyAlignment="1">
      <alignment vertical="center"/>
    </xf>
    <xf numFmtId="0" fontId="20" fillId="0" borderId="13" xfId="0" applyFont="1" applyBorder="1" applyAlignment="1">
      <alignment vertical="center"/>
    </xf>
    <xf numFmtId="0" fontId="20" fillId="0" borderId="14" xfId="0" applyFont="1" applyBorder="1" applyAlignment="1">
      <alignment vertical="center"/>
    </xf>
    <xf numFmtId="0" fontId="20" fillId="0" borderId="15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0" fillId="0" borderId="17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right" vertical="center"/>
    </xf>
    <xf numFmtId="0" fontId="20" fillId="0" borderId="0" xfId="0" applyFont="1" applyAlignment="1">
      <alignment horizontal="right" vertical="center"/>
    </xf>
    <xf numFmtId="0" fontId="22" fillId="0" borderId="0" xfId="0" applyFont="1" applyAlignment="1">
      <alignment horizontal="center" vertical="center"/>
    </xf>
    <xf numFmtId="0" fontId="22" fillId="0" borderId="18" xfId="0" applyFont="1" applyBorder="1" applyAlignment="1">
      <alignment horizontal="center" vertical="center"/>
    </xf>
    <xf numFmtId="3" fontId="23" fillId="0" borderId="19" xfId="0" applyNumberFormat="1" applyFont="1" applyBorder="1" applyAlignment="1">
      <alignment horizontal="center" vertical="center"/>
    </xf>
    <xf numFmtId="10" fontId="23" fillId="0" borderId="2" xfId="2" applyNumberFormat="1" applyFont="1" applyBorder="1" applyAlignment="1">
      <alignment horizontal="center" vertical="center"/>
    </xf>
    <xf numFmtId="3" fontId="23" fillId="0" borderId="20" xfId="0" applyNumberFormat="1" applyFont="1" applyBorder="1" applyAlignment="1">
      <alignment horizontal="center" vertical="center"/>
    </xf>
    <xf numFmtId="9" fontId="24" fillId="0" borderId="21" xfId="2" applyFont="1" applyBorder="1" applyAlignment="1">
      <alignment horizontal="center" vertical="center"/>
    </xf>
    <xf numFmtId="3" fontId="24" fillId="0" borderId="22" xfId="0" applyNumberFormat="1" applyFont="1" applyBorder="1" applyAlignment="1">
      <alignment horizontal="center" vertical="center"/>
    </xf>
    <xf numFmtId="9" fontId="24" fillId="0" borderId="9" xfId="2" applyFont="1" applyBorder="1" applyAlignment="1">
      <alignment horizontal="center" vertical="center"/>
    </xf>
    <xf numFmtId="3" fontId="24" fillId="0" borderId="10" xfId="0" applyNumberFormat="1" applyFont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0" fillId="0" borderId="23" xfId="0" applyFont="1" applyBorder="1" applyAlignment="1">
      <alignment horizontal="center" vertical="center"/>
    </xf>
    <xf numFmtId="3" fontId="24" fillId="0" borderId="24" xfId="0" applyNumberFormat="1" applyFont="1" applyBorder="1" applyAlignment="1">
      <alignment horizontal="center" vertical="center"/>
    </xf>
    <xf numFmtId="9" fontId="24" fillId="0" borderId="26" xfId="2" applyFont="1" applyBorder="1" applyAlignment="1">
      <alignment horizontal="center" vertical="center"/>
    </xf>
    <xf numFmtId="3" fontId="24" fillId="0" borderId="25" xfId="0" applyNumberFormat="1" applyFont="1" applyBorder="1" applyAlignment="1">
      <alignment horizontal="center" vertical="center"/>
    </xf>
    <xf numFmtId="9" fontId="24" fillId="0" borderId="1" xfId="2" applyFont="1" applyBorder="1" applyAlignment="1">
      <alignment horizontal="center" vertical="center"/>
    </xf>
    <xf numFmtId="3" fontId="24" fillId="0" borderId="5" xfId="0" applyNumberFormat="1" applyFont="1" applyBorder="1" applyAlignment="1">
      <alignment horizontal="center" vertical="center"/>
    </xf>
    <xf numFmtId="1" fontId="20" fillId="0" borderId="0" xfId="0" applyNumberFormat="1" applyFont="1" applyAlignment="1">
      <alignment vertical="center"/>
    </xf>
    <xf numFmtId="0" fontId="20" fillId="0" borderId="0" xfId="0" applyFont="1" applyAlignment="1">
      <alignment vertical="center"/>
    </xf>
    <xf numFmtId="0" fontId="20" fillId="0" borderId="27" xfId="0" applyFont="1" applyBorder="1" applyAlignment="1">
      <alignment horizontal="center" vertical="center"/>
    </xf>
    <xf numFmtId="3" fontId="24" fillId="0" borderId="28" xfId="0" applyNumberFormat="1" applyFont="1" applyBorder="1" applyAlignment="1">
      <alignment horizontal="center" vertical="center"/>
    </xf>
    <xf numFmtId="9" fontId="24" fillId="0" borderId="30" xfId="2" applyFont="1" applyBorder="1" applyAlignment="1">
      <alignment horizontal="center" vertical="center"/>
    </xf>
    <xf numFmtId="3" fontId="24" fillId="0" borderId="29" xfId="0" applyNumberFormat="1" applyFont="1" applyBorder="1" applyAlignment="1">
      <alignment horizontal="center" vertical="center"/>
    </xf>
    <xf numFmtId="9" fontId="24" fillId="0" borderId="6" xfId="2" applyFont="1" applyBorder="1" applyAlignment="1">
      <alignment horizontal="center" vertical="center"/>
    </xf>
    <xf numFmtId="3" fontId="24" fillId="0" borderId="7" xfId="0" applyNumberFormat="1" applyFont="1" applyBorder="1" applyAlignment="1">
      <alignment horizontal="center" vertical="center"/>
    </xf>
    <xf numFmtId="168" fontId="2" fillId="0" borderId="0" xfId="3" applyNumberFormat="1" applyAlignment="1">
      <alignment vertical="center"/>
    </xf>
    <xf numFmtId="165" fontId="2" fillId="0" borderId="0" xfId="0" applyNumberFormat="1" applyFont="1" applyAlignment="1">
      <alignment vertical="center"/>
    </xf>
    <xf numFmtId="0" fontId="20" fillId="0" borderId="18" xfId="0" applyFont="1" applyBorder="1" applyAlignment="1">
      <alignment horizontal="center" vertical="center"/>
    </xf>
    <xf numFmtId="3" fontId="24" fillId="0" borderId="19" xfId="0" applyNumberFormat="1" applyFont="1" applyBorder="1" applyAlignment="1">
      <alignment horizontal="center" vertical="center"/>
    </xf>
    <xf numFmtId="3" fontId="24" fillId="0" borderId="20" xfId="0" applyNumberFormat="1" applyFont="1" applyBorder="1" applyAlignment="1">
      <alignment horizontal="center" vertical="center"/>
    </xf>
    <xf numFmtId="10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24" fillId="0" borderId="1" xfId="0" applyNumberFormat="1" applyFont="1" applyBorder="1" applyAlignment="1">
      <alignment horizontal="center" vertical="center"/>
    </xf>
    <xf numFmtId="3" fontId="24" fillId="0" borderId="34" xfId="0" applyNumberFormat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17" fillId="0" borderId="0" xfId="0" applyFont="1" applyAlignment="1">
      <alignment vertical="center"/>
    </xf>
    <xf numFmtId="169" fontId="25" fillId="0" borderId="3" xfId="0" applyNumberFormat="1" applyFont="1" applyBorder="1" applyAlignment="1" applyProtection="1">
      <alignment horizontal="center" vertical="center" wrapText="1"/>
      <protection hidden="1"/>
    </xf>
    <xf numFmtId="0" fontId="25" fillId="0" borderId="2" xfId="0" applyFont="1" applyBorder="1" applyAlignment="1" applyProtection="1">
      <alignment vertical="center" wrapText="1"/>
      <protection hidden="1"/>
    </xf>
    <xf numFmtId="0" fontId="17" fillId="0" borderId="1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3" fontId="18" fillId="0" borderId="19" xfId="0" applyNumberFormat="1" applyFont="1" applyBorder="1" applyAlignment="1">
      <alignment horizontal="center" vertical="center"/>
    </xf>
    <xf numFmtId="3" fontId="18" fillId="0" borderId="2" xfId="0" applyNumberFormat="1" applyFont="1" applyBorder="1" applyAlignment="1">
      <alignment horizontal="center" vertical="center"/>
    </xf>
    <xf numFmtId="2" fontId="18" fillId="0" borderId="48" xfId="0" applyNumberFormat="1" applyFont="1" applyBorder="1" applyAlignment="1" applyProtection="1">
      <alignment horizontal="center" vertical="center"/>
      <protection hidden="1"/>
    </xf>
    <xf numFmtId="169" fontId="18" fillId="0" borderId="48" xfId="0" applyNumberFormat="1" applyFont="1" applyBorder="1" applyAlignment="1" applyProtection="1">
      <alignment horizontal="center" vertical="center"/>
      <protection hidden="1"/>
    </xf>
    <xf numFmtId="0" fontId="17" fillId="0" borderId="23" xfId="0" applyFont="1" applyBorder="1" applyAlignment="1">
      <alignment horizontal="center" vertical="center"/>
    </xf>
    <xf numFmtId="2" fontId="18" fillId="0" borderId="49" xfId="0" applyNumberFormat="1" applyFont="1" applyBorder="1" applyAlignment="1" applyProtection="1">
      <alignment horizontal="center" vertical="center"/>
      <protection hidden="1"/>
    </xf>
    <xf numFmtId="0" fontId="17" fillId="0" borderId="27" xfId="0" applyFont="1" applyBorder="1" applyAlignment="1">
      <alignment horizontal="center" vertical="center"/>
    </xf>
    <xf numFmtId="3" fontId="18" fillId="0" borderId="0" xfId="0" applyNumberFormat="1" applyFont="1" applyAlignment="1">
      <alignment horizontal="center" vertical="center"/>
    </xf>
    <xf numFmtId="0" fontId="26" fillId="0" borderId="0" xfId="0" applyFont="1" applyAlignment="1">
      <alignment vertical="center"/>
    </xf>
    <xf numFmtId="0" fontId="26" fillId="0" borderId="0" xfId="0" applyFont="1" applyAlignment="1">
      <alignment horizontal="center" vertical="center"/>
    </xf>
    <xf numFmtId="4" fontId="18" fillId="0" borderId="19" xfId="0" applyNumberFormat="1" applyFont="1" applyBorder="1" applyAlignment="1">
      <alignment horizontal="center" vertical="center"/>
    </xf>
    <xf numFmtId="4" fontId="18" fillId="0" borderId="2" xfId="0" applyNumberFormat="1" applyFont="1" applyBorder="1" applyAlignment="1">
      <alignment horizontal="center" vertical="center"/>
    </xf>
    <xf numFmtId="4" fontId="18" fillId="0" borderId="11" xfId="0" applyNumberFormat="1" applyFont="1" applyBorder="1" applyAlignment="1">
      <alignment horizontal="center" vertical="center"/>
    </xf>
    <xf numFmtId="4" fontId="18" fillId="0" borderId="1" xfId="0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4" fontId="18" fillId="0" borderId="0" xfId="0" applyNumberFormat="1" applyFont="1" applyAlignment="1">
      <alignment vertical="center"/>
    </xf>
    <xf numFmtId="2" fontId="18" fillId="0" borderId="51" xfId="0" applyNumberFormat="1" applyFont="1" applyBorder="1" applyAlignment="1">
      <alignment horizontal="center" vertical="center"/>
    </xf>
    <xf numFmtId="2" fontId="18" fillId="0" borderId="49" xfId="0" applyNumberFormat="1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20" fillId="2" borderId="37" xfId="0" applyFont="1" applyFill="1" applyBorder="1" applyAlignment="1">
      <alignment horizontal="center" vertical="center"/>
    </xf>
    <xf numFmtId="4" fontId="24" fillId="0" borderId="2" xfId="0" applyNumberFormat="1" applyFont="1" applyBorder="1" applyAlignment="1">
      <alignment horizontal="center" vertical="center"/>
    </xf>
    <xf numFmtId="9" fontId="24" fillId="0" borderId="2" xfId="2" applyFont="1" applyBorder="1" applyAlignment="1">
      <alignment horizontal="center" vertical="center"/>
    </xf>
    <xf numFmtId="0" fontId="20" fillId="2" borderId="23" xfId="0" applyFont="1" applyFill="1" applyBorder="1" applyAlignment="1">
      <alignment horizontal="center" vertical="center"/>
    </xf>
    <xf numFmtId="4" fontId="2" fillId="0" borderId="0" xfId="0" applyNumberFormat="1" applyFont="1" applyAlignment="1">
      <alignment vertical="center"/>
    </xf>
    <xf numFmtId="3" fontId="0" fillId="0" borderId="49" xfId="0" applyNumberFormat="1" applyBorder="1" applyAlignment="1" applyProtection="1">
      <alignment horizontal="center" vertical="center"/>
      <protection hidden="1"/>
    </xf>
    <xf numFmtId="4" fontId="0" fillId="0" borderId="49" xfId="0" applyNumberFormat="1" applyBorder="1" applyAlignment="1" applyProtection="1">
      <alignment horizontal="center" vertical="center"/>
      <protection hidden="1"/>
    </xf>
    <xf numFmtId="3" fontId="0" fillId="0" borderId="52" xfId="0" applyNumberFormat="1" applyBorder="1" applyAlignment="1" applyProtection="1">
      <alignment horizontal="center" vertical="center"/>
      <protection hidden="1"/>
    </xf>
    <xf numFmtId="3" fontId="0" fillId="0" borderId="50" xfId="0" applyNumberFormat="1" applyBorder="1" applyAlignment="1" applyProtection="1">
      <alignment horizontal="center" vertical="center"/>
      <protection hidden="1"/>
    </xf>
    <xf numFmtId="3" fontId="0" fillId="0" borderId="53" xfId="0" applyNumberFormat="1" applyBorder="1" applyAlignment="1" applyProtection="1">
      <alignment horizontal="center" vertical="center"/>
      <protection hidden="1"/>
    </xf>
    <xf numFmtId="3" fontId="0" fillId="0" borderId="54" xfId="0" applyNumberFormat="1" applyBorder="1" applyAlignment="1" applyProtection="1">
      <alignment horizontal="center" vertical="center"/>
      <protection hidden="1"/>
    </xf>
    <xf numFmtId="0" fontId="7" fillId="0" borderId="0" xfId="0" applyFont="1" applyAlignment="1">
      <alignment horizontal="center" vertical="center" wrapText="1"/>
    </xf>
    <xf numFmtId="4" fontId="9" fillId="0" borderId="0" xfId="0" applyNumberFormat="1" applyFont="1" applyAlignment="1">
      <alignment horizontal="center" vertical="center"/>
    </xf>
    <xf numFmtId="44" fontId="5" fillId="0" borderId="0" xfId="5" applyFont="1" applyAlignment="1">
      <alignment horizontal="center" vertical="center"/>
    </xf>
    <xf numFmtId="9" fontId="9" fillId="0" borderId="0" xfId="2" applyFont="1" applyAlignment="1">
      <alignment horizontal="center" vertical="center"/>
    </xf>
    <xf numFmtId="3" fontId="9" fillId="0" borderId="0" xfId="0" applyNumberFormat="1" applyFont="1" applyAlignment="1">
      <alignment horizontal="center" vertical="center"/>
    </xf>
    <xf numFmtId="44" fontId="5" fillId="0" borderId="0" xfId="5" applyFont="1" applyAlignment="1">
      <alignment vertical="center"/>
    </xf>
    <xf numFmtId="0" fontId="18" fillId="0" borderId="0" xfId="0" applyFont="1" applyAlignment="1">
      <alignment horizontal="center" vertical="center" wrapText="1"/>
    </xf>
    <xf numFmtId="4" fontId="18" fillId="0" borderId="1" xfId="0" quotePrefix="1" applyNumberFormat="1" applyFont="1" applyBorder="1" applyAlignment="1">
      <alignment horizontal="center" vertical="center"/>
    </xf>
    <xf numFmtId="4" fontId="18" fillId="0" borderId="0" xfId="0" applyNumberFormat="1" applyFont="1" applyAlignment="1">
      <alignment horizontal="center" vertical="center"/>
    </xf>
    <xf numFmtId="164" fontId="18" fillId="0" borderId="0" xfId="3" applyFont="1" applyAlignment="1">
      <alignment vertical="center"/>
    </xf>
    <xf numFmtId="4" fontId="17" fillId="0" borderId="0" xfId="0" applyNumberFormat="1" applyFont="1" applyAlignment="1">
      <alignment vertical="center"/>
    </xf>
    <xf numFmtId="1" fontId="18" fillId="0" borderId="0" xfId="0" applyNumberFormat="1" applyFont="1" applyAlignment="1">
      <alignment horizontal="center" vertical="center"/>
    </xf>
    <xf numFmtId="164" fontId="6" fillId="0" borderId="0" xfId="3" applyFont="1" applyAlignment="1">
      <alignment vertical="center"/>
    </xf>
    <xf numFmtId="0" fontId="4" fillId="0" borderId="0" xfId="0" applyFont="1" applyAlignment="1">
      <alignment horizontal="center" vertical="center"/>
    </xf>
    <xf numFmtId="164" fontId="6" fillId="0" borderId="0" xfId="3" applyFont="1" applyAlignment="1">
      <alignment horizontal="center" vertical="center"/>
    </xf>
    <xf numFmtId="168" fontId="6" fillId="0" borderId="0" xfId="3" applyNumberFormat="1" applyFont="1" applyAlignment="1">
      <alignment vertical="center"/>
    </xf>
    <xf numFmtId="168" fontId="5" fillId="0" borderId="0" xfId="3" applyNumberFormat="1" applyFont="1" applyAlignment="1">
      <alignment vertical="center"/>
    </xf>
    <xf numFmtId="3" fontId="6" fillId="0" borderId="0" xfId="0" applyNumberFormat="1" applyFont="1" applyAlignment="1">
      <alignment vertical="center"/>
    </xf>
    <xf numFmtId="3" fontId="9" fillId="0" borderId="19" xfId="0" applyNumberFormat="1" applyFont="1" applyBorder="1" applyAlignment="1">
      <alignment horizontal="center" vertical="center"/>
    </xf>
    <xf numFmtId="3" fontId="9" fillId="3" borderId="19" xfId="0" applyNumberFormat="1" applyFont="1" applyFill="1" applyBorder="1" applyAlignment="1">
      <alignment horizontal="center" vertical="center"/>
    </xf>
    <xf numFmtId="3" fontId="0" fillId="0" borderId="61" xfId="0" applyNumberFormat="1" applyBorder="1" applyAlignment="1" applyProtection="1">
      <alignment horizontal="center" vertical="center"/>
      <protection hidden="1"/>
    </xf>
    <xf numFmtId="9" fontId="0" fillId="0" borderId="52" xfId="2" applyFont="1" applyBorder="1" applyAlignment="1" applyProtection="1">
      <alignment horizontal="center" vertical="center"/>
      <protection hidden="1"/>
    </xf>
    <xf numFmtId="4" fontId="9" fillId="0" borderId="19" xfId="0" applyNumberFormat="1" applyFont="1" applyBorder="1" applyAlignment="1">
      <alignment horizontal="center" vertical="center"/>
    </xf>
    <xf numFmtId="3" fontId="5" fillId="0" borderId="0" xfId="0" applyNumberFormat="1" applyFont="1" applyAlignment="1">
      <alignment vertical="center"/>
    </xf>
    <xf numFmtId="171" fontId="6" fillId="0" borderId="0" xfId="0" applyNumberFormat="1" applyFont="1" applyAlignment="1">
      <alignment vertical="center"/>
    </xf>
    <xf numFmtId="0" fontId="6" fillId="0" borderId="62" xfId="0" applyFont="1" applyBorder="1" applyAlignment="1">
      <alignment horizontal="center" vertical="center" wrapText="1"/>
    </xf>
    <xf numFmtId="0" fontId="5" fillId="0" borderId="49" xfId="0" applyFont="1" applyBorder="1" applyAlignment="1">
      <alignment horizontal="center" vertical="center"/>
    </xf>
    <xf numFmtId="0" fontId="0" fillId="2" borderId="0" xfId="0" applyFill="1"/>
    <xf numFmtId="8" fontId="29" fillId="2" borderId="64" xfId="0" applyNumberFormat="1" applyFont="1" applyFill="1" applyBorder="1" applyAlignment="1">
      <alignment horizontal="center" wrapText="1"/>
    </xf>
    <xf numFmtId="8" fontId="29" fillId="2" borderId="64" xfId="0" applyNumberFormat="1" applyFont="1" applyFill="1" applyBorder="1" applyAlignment="1">
      <alignment horizontal="center" vertical="center" wrapText="1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4" fontId="31" fillId="0" borderId="0" xfId="0" applyNumberFormat="1" applyFont="1" applyAlignment="1">
      <alignment vertical="center"/>
    </xf>
    <xf numFmtId="0" fontId="32" fillId="0" borderId="0" xfId="0" applyFont="1" applyAlignment="1">
      <alignment horizontal="center" vertical="center" wrapText="1"/>
    </xf>
    <xf numFmtId="169" fontId="31" fillId="0" borderId="0" xfId="0" applyNumberFormat="1" applyFont="1" applyAlignment="1">
      <alignment horizontal="center" vertical="center"/>
    </xf>
    <xf numFmtId="4" fontId="33" fillId="0" borderId="0" xfId="0" applyNumberFormat="1" applyFont="1" applyAlignment="1">
      <alignment horizontal="center" vertical="center"/>
    </xf>
    <xf numFmtId="164" fontId="32" fillId="0" borderId="0" xfId="3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3" fontId="31" fillId="0" borderId="0" xfId="0" applyNumberFormat="1" applyFont="1" applyAlignment="1">
      <alignment horizontal="center" vertical="center"/>
    </xf>
    <xf numFmtId="3" fontId="31" fillId="0" borderId="0" xfId="0" applyNumberFormat="1" applyFont="1" applyAlignment="1">
      <alignment vertical="center"/>
    </xf>
    <xf numFmtId="38" fontId="31" fillId="0" borderId="0" xfId="0" applyNumberFormat="1" applyFont="1" applyAlignment="1">
      <alignment vertical="center"/>
    </xf>
    <xf numFmtId="10" fontId="32" fillId="0" borderId="0" xfId="2" applyNumberFormat="1" applyFont="1" applyAlignment="1">
      <alignment horizontal="center" vertical="center"/>
    </xf>
    <xf numFmtId="164" fontId="36" fillId="0" borderId="0" xfId="6" applyFont="1" applyAlignment="1">
      <alignment vertical="center"/>
    </xf>
    <xf numFmtId="172" fontId="36" fillId="0" borderId="0" xfId="0" applyNumberFormat="1" applyFont="1" applyAlignment="1">
      <alignment vertical="center"/>
    </xf>
    <xf numFmtId="172" fontId="39" fillId="0" borderId="0" xfId="0" applyNumberFormat="1" applyFont="1" applyAlignment="1">
      <alignment vertical="center"/>
    </xf>
    <xf numFmtId="172" fontId="39" fillId="0" borderId="69" xfId="0" applyNumberFormat="1" applyFont="1" applyBorder="1" applyAlignment="1">
      <alignment horizontal="center" vertical="center"/>
    </xf>
    <xf numFmtId="172" fontId="39" fillId="0" borderId="12" xfId="0" applyNumberFormat="1" applyFont="1" applyBorder="1" applyAlignment="1">
      <alignment horizontal="center" vertical="center"/>
    </xf>
    <xf numFmtId="172" fontId="39" fillId="0" borderId="17" xfId="0" applyNumberFormat="1" applyFont="1" applyBorder="1" applyAlignment="1">
      <alignment horizontal="center" vertical="center"/>
    </xf>
    <xf numFmtId="172" fontId="39" fillId="0" borderId="0" xfId="0" applyNumberFormat="1" applyFont="1" applyAlignment="1">
      <alignment horizontal="center" vertical="center"/>
    </xf>
    <xf numFmtId="1" fontId="39" fillId="0" borderId="13" xfId="0" applyNumberFormat="1" applyFont="1" applyBorder="1" applyAlignment="1">
      <alignment horizontal="left" vertical="center"/>
    </xf>
    <xf numFmtId="172" fontId="39" fillId="0" borderId="14" xfId="0" applyNumberFormat="1" applyFont="1" applyBorder="1" applyAlignment="1">
      <alignment vertical="center"/>
    </xf>
    <xf numFmtId="172" fontId="36" fillId="0" borderId="14" xfId="0" applyNumberFormat="1" applyFont="1" applyBorder="1" applyAlignment="1">
      <alignment horizontal="center" vertical="center"/>
    </xf>
    <xf numFmtId="172" fontId="36" fillId="0" borderId="14" xfId="0" applyNumberFormat="1" applyFont="1" applyBorder="1" applyAlignment="1">
      <alignment vertical="center"/>
    </xf>
    <xf numFmtId="172" fontId="36" fillId="0" borderId="15" xfId="0" applyNumberFormat="1" applyFont="1" applyBorder="1" applyAlignment="1">
      <alignment vertical="center"/>
    </xf>
    <xf numFmtId="174" fontId="39" fillId="0" borderId="17" xfId="7" applyNumberFormat="1" applyFont="1" applyBorder="1" applyAlignment="1">
      <alignment vertical="center"/>
    </xf>
    <xf numFmtId="172" fontId="36" fillId="0" borderId="78" xfId="0" applyNumberFormat="1" applyFont="1" applyBorder="1" applyAlignment="1">
      <alignment vertical="center"/>
    </xf>
    <xf numFmtId="172" fontId="36" fillId="0" borderId="79" xfId="0" applyNumberFormat="1" applyFont="1" applyBorder="1" applyAlignment="1">
      <alignment vertical="center"/>
    </xf>
    <xf numFmtId="172" fontId="36" fillId="0" borderId="82" xfId="0" applyNumberFormat="1" applyFont="1" applyBorder="1" applyAlignment="1">
      <alignment vertical="center"/>
    </xf>
    <xf numFmtId="172" fontId="36" fillId="0" borderId="83" xfId="0" applyNumberFormat="1" applyFont="1" applyBorder="1" applyAlignment="1">
      <alignment vertical="center"/>
    </xf>
    <xf numFmtId="168" fontId="36" fillId="0" borderId="59" xfId="6" applyNumberFormat="1" applyFont="1" applyBorder="1" applyAlignment="1">
      <alignment horizontal="center" vertical="center"/>
    </xf>
    <xf numFmtId="172" fontId="36" fillId="0" borderId="86" xfId="0" applyNumberFormat="1" applyFont="1" applyBorder="1" applyAlignment="1">
      <alignment vertical="center"/>
    </xf>
    <xf numFmtId="168" fontId="36" fillId="0" borderId="87" xfId="6" applyNumberFormat="1" applyFont="1" applyBorder="1" applyAlignment="1">
      <alignment horizontal="center" vertical="center"/>
    </xf>
    <xf numFmtId="168" fontId="36" fillId="0" borderId="90" xfId="6" applyNumberFormat="1" applyFont="1" applyBorder="1" applyAlignment="1">
      <alignment horizontal="center" vertical="center"/>
    </xf>
    <xf numFmtId="172" fontId="36" fillId="0" borderId="16" xfId="0" applyNumberFormat="1" applyFont="1" applyBorder="1" applyAlignment="1">
      <alignment vertical="center"/>
    </xf>
    <xf numFmtId="168" fontId="36" fillId="0" borderId="91" xfId="6" applyNumberFormat="1" applyFont="1" applyBorder="1" applyAlignment="1">
      <alignment horizontal="center" vertical="center"/>
    </xf>
    <xf numFmtId="172" fontId="39" fillId="0" borderId="13" xfId="0" applyNumberFormat="1" applyFont="1" applyBorder="1" applyAlignment="1">
      <alignment vertical="center"/>
    </xf>
    <xf numFmtId="172" fontId="36" fillId="0" borderId="98" xfId="0" applyNumberFormat="1" applyFont="1" applyBorder="1" applyAlignment="1">
      <alignment vertical="center"/>
    </xf>
    <xf numFmtId="172" fontId="36" fillId="0" borderId="89" xfId="0" applyNumberFormat="1" applyFont="1" applyBorder="1" applyAlignment="1">
      <alignment vertical="center"/>
    </xf>
    <xf numFmtId="172" fontId="36" fillId="0" borderId="58" xfId="0" applyNumberFormat="1" applyFont="1" applyBorder="1" applyAlignment="1">
      <alignment vertical="center"/>
    </xf>
    <xf numFmtId="168" fontId="36" fillId="0" borderId="92" xfId="6" applyNumberFormat="1" applyFont="1" applyBorder="1" applyAlignment="1">
      <alignment horizontal="center" vertical="center"/>
    </xf>
    <xf numFmtId="168" fontId="36" fillId="0" borderId="88" xfId="6" applyNumberFormat="1" applyFont="1" applyBorder="1" applyAlignment="1">
      <alignment horizontal="center" vertical="center"/>
    </xf>
    <xf numFmtId="168" fontId="36" fillId="0" borderId="0" xfId="6" applyNumberFormat="1" applyFont="1" applyAlignment="1">
      <alignment horizontal="center" vertical="center"/>
    </xf>
    <xf numFmtId="172" fontId="36" fillId="0" borderId="0" xfId="0" applyNumberFormat="1" applyFont="1" applyAlignment="1">
      <alignment horizontal="center" vertical="center"/>
    </xf>
    <xf numFmtId="172" fontId="39" fillId="0" borderId="17" xfId="0" applyNumberFormat="1" applyFont="1" applyBorder="1" applyAlignment="1">
      <alignment horizontal="left" vertical="center"/>
    </xf>
    <xf numFmtId="1" fontId="36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right" vertical="center"/>
    </xf>
    <xf numFmtId="0" fontId="34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4" fontId="33" fillId="0" borderId="0" xfId="0" applyNumberFormat="1" applyFont="1" applyAlignment="1">
      <alignment vertical="center"/>
    </xf>
    <xf numFmtId="4" fontId="34" fillId="0" borderId="0" xfId="0" applyNumberFormat="1" applyFont="1" applyAlignment="1">
      <alignment vertical="center"/>
    </xf>
    <xf numFmtId="0" fontId="42" fillId="0" borderId="0" xfId="0" applyFont="1" applyAlignment="1">
      <alignment horizontal="left" vertical="center"/>
    </xf>
    <xf numFmtId="0" fontId="33" fillId="0" borderId="0" xfId="0" quotePrefix="1" applyFont="1" applyAlignment="1">
      <alignment horizontal="left" vertical="center"/>
    </xf>
    <xf numFmtId="3" fontId="33" fillId="0" borderId="0" xfId="0" applyNumberFormat="1" applyFont="1" applyAlignment="1">
      <alignment horizontal="center" vertical="center"/>
    </xf>
    <xf numFmtId="0" fontId="33" fillId="0" borderId="0" xfId="0" applyFont="1" applyAlignment="1">
      <alignment horizontal="left" vertical="center" indent="5"/>
    </xf>
    <xf numFmtId="3" fontId="33" fillId="0" borderId="0" xfId="0" applyNumberFormat="1" applyFont="1" applyAlignment="1">
      <alignment vertical="center"/>
    </xf>
    <xf numFmtId="3" fontId="32" fillId="0" borderId="0" xfId="0" applyNumberFormat="1" applyFont="1" applyAlignment="1">
      <alignment vertical="center"/>
    </xf>
    <xf numFmtId="3" fontId="34" fillId="0" borderId="0" xfId="0" applyNumberFormat="1" applyFont="1" applyAlignment="1">
      <alignment vertical="center"/>
    </xf>
    <xf numFmtId="37" fontId="31" fillId="0" borderId="0" xfId="0" applyNumberFormat="1" applyFont="1" applyAlignment="1">
      <alignment horizontal="right" vertical="center"/>
    </xf>
    <xf numFmtId="4" fontId="31" fillId="0" borderId="0" xfId="0" applyNumberFormat="1" applyFont="1" applyAlignment="1">
      <alignment horizontal="left" vertical="center"/>
    </xf>
    <xf numFmtId="37" fontId="33" fillId="0" borderId="0" xfId="0" applyNumberFormat="1" applyFont="1" applyAlignment="1">
      <alignment vertical="center"/>
    </xf>
    <xf numFmtId="8" fontId="29" fillId="2" borderId="63" xfId="0" applyNumberFormat="1" applyFont="1" applyFill="1" applyBorder="1" applyAlignment="1">
      <alignment horizontal="center" wrapText="1"/>
    </xf>
    <xf numFmtId="8" fontId="29" fillId="2" borderId="63" xfId="0" applyNumberFormat="1" applyFont="1" applyFill="1" applyBorder="1" applyAlignment="1">
      <alignment horizontal="center" vertical="center" wrapText="1"/>
    </xf>
    <xf numFmtId="0" fontId="28" fillId="2" borderId="113" xfId="0" applyFont="1" applyFill="1" applyBorder="1" applyAlignment="1">
      <alignment horizontal="center" wrapText="1"/>
    </xf>
    <xf numFmtId="0" fontId="28" fillId="2" borderId="114" xfId="0" applyFont="1" applyFill="1" applyBorder="1" applyAlignment="1">
      <alignment horizontal="center" wrapText="1"/>
    </xf>
    <xf numFmtId="0" fontId="20" fillId="2" borderId="13" xfId="0" applyFont="1" applyFill="1" applyBorder="1"/>
    <xf numFmtId="176" fontId="20" fillId="2" borderId="15" xfId="0" applyNumberFormat="1" applyFont="1" applyFill="1" applyBorder="1"/>
    <xf numFmtId="4" fontId="31" fillId="0" borderId="0" xfId="0" applyNumberFormat="1" applyFont="1" applyAlignment="1">
      <alignment horizontal="center" vertical="center"/>
    </xf>
    <xf numFmtId="166" fontId="31" fillId="0" borderId="0" xfId="0" applyNumberFormat="1" applyFont="1" applyAlignment="1">
      <alignment horizontal="center" vertical="center"/>
    </xf>
    <xf numFmtId="168" fontId="31" fillId="0" borderId="0" xfId="3" applyNumberFormat="1" applyFont="1" applyAlignment="1">
      <alignment vertical="center"/>
    </xf>
    <xf numFmtId="2" fontId="31" fillId="0" borderId="0" xfId="0" applyNumberFormat="1" applyFont="1" applyAlignment="1">
      <alignment horizontal="center" vertical="center"/>
    </xf>
    <xf numFmtId="0" fontId="31" fillId="0" borderId="0" xfId="0" applyFont="1"/>
    <xf numFmtId="168" fontId="31" fillId="0" borderId="0" xfId="0" applyNumberFormat="1" applyFont="1" applyAlignment="1">
      <alignment vertical="center"/>
    </xf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10" fontId="31" fillId="0" borderId="0" xfId="2" applyNumberFormat="1" applyFont="1" applyAlignment="1">
      <alignment vertical="center"/>
    </xf>
    <xf numFmtId="168" fontId="31" fillId="0" borderId="0" xfId="3" applyNumberFormat="1" applyFont="1" applyAlignment="1">
      <alignment horizontal="center" vertical="center"/>
    </xf>
    <xf numFmtId="164" fontId="31" fillId="0" borderId="0" xfId="3" applyFont="1" applyAlignment="1">
      <alignment vertical="center"/>
    </xf>
    <xf numFmtId="164" fontId="32" fillId="0" borderId="0" xfId="3" applyFont="1" applyAlignment="1">
      <alignment vertical="center"/>
    </xf>
    <xf numFmtId="43" fontId="31" fillId="0" borderId="0" xfId="0" applyNumberFormat="1" applyFont="1" applyAlignment="1">
      <alignment vertical="center"/>
    </xf>
    <xf numFmtId="164" fontId="31" fillId="0" borderId="0" xfId="0" applyNumberFormat="1" applyFont="1" applyAlignment="1">
      <alignment vertical="center"/>
    </xf>
    <xf numFmtId="0" fontId="32" fillId="4" borderId="1" xfId="0" applyFont="1" applyFill="1" applyBorder="1" applyAlignment="1">
      <alignment horizontal="center" vertical="center" wrapText="1"/>
    </xf>
    <xf numFmtId="0" fontId="32" fillId="4" borderId="0" xfId="0" applyFont="1" applyFill="1" applyAlignment="1">
      <alignment vertical="center"/>
    </xf>
    <xf numFmtId="164" fontId="31" fillId="4" borderId="0" xfId="3" applyFont="1" applyFill="1" applyAlignment="1">
      <alignment vertical="center"/>
    </xf>
    <xf numFmtId="43" fontId="31" fillId="4" borderId="0" xfId="0" applyNumberFormat="1" applyFont="1" applyFill="1" applyAlignment="1">
      <alignment vertical="center"/>
    </xf>
    <xf numFmtId="0" fontId="31" fillId="4" borderId="0" xfId="0" applyFont="1" applyFill="1" applyAlignment="1">
      <alignment vertical="center"/>
    </xf>
    <xf numFmtId="164" fontId="32" fillId="4" borderId="0" xfId="3" applyFont="1" applyFill="1" applyAlignment="1">
      <alignment vertical="center"/>
    </xf>
    <xf numFmtId="164" fontId="31" fillId="4" borderId="0" xfId="0" applyNumberFormat="1" applyFont="1" applyFill="1" applyAlignment="1">
      <alignment vertical="center"/>
    </xf>
    <xf numFmtId="2" fontId="31" fillId="0" borderId="0" xfId="0" applyNumberFormat="1" applyFont="1" applyAlignment="1">
      <alignment vertical="center"/>
    </xf>
    <xf numFmtId="164" fontId="31" fillId="4" borderId="0" xfId="3" applyFont="1" applyFill="1" applyAlignment="1">
      <alignment horizontal="center" vertical="center"/>
    </xf>
    <xf numFmtId="164" fontId="5" fillId="0" borderId="0" xfId="0" applyNumberFormat="1" applyFont="1" applyAlignment="1">
      <alignment vertical="center"/>
    </xf>
    <xf numFmtId="172" fontId="31" fillId="0" borderId="8" xfId="0" applyNumberFormat="1" applyFont="1" applyBorder="1" applyAlignment="1">
      <alignment vertical="center" wrapText="1"/>
    </xf>
    <xf numFmtId="168" fontId="36" fillId="0" borderId="57" xfId="6" applyNumberFormat="1" applyFont="1" applyBorder="1" applyAlignment="1">
      <alignment horizontal="center" vertical="center"/>
    </xf>
    <xf numFmtId="164" fontId="37" fillId="0" borderId="57" xfId="3" applyFont="1" applyBorder="1" applyAlignment="1">
      <alignment horizontal="center" vertical="center"/>
    </xf>
    <xf numFmtId="168" fontId="36" fillId="0" borderId="1" xfId="6" applyNumberFormat="1" applyFont="1" applyBorder="1" applyAlignment="1">
      <alignment horizontal="center" vertical="center"/>
    </xf>
    <xf numFmtId="164" fontId="37" fillId="0" borderId="1" xfId="3" applyFont="1" applyBorder="1" applyAlignment="1">
      <alignment horizontal="center" vertical="center"/>
    </xf>
    <xf numFmtId="164" fontId="37" fillId="0" borderId="59" xfId="3" applyFont="1" applyBorder="1" applyAlignment="1">
      <alignment horizontal="center" vertical="center"/>
    </xf>
    <xf numFmtId="164" fontId="37" fillId="0" borderId="87" xfId="3" applyFont="1" applyBorder="1" applyAlignment="1">
      <alignment horizontal="center" vertical="center"/>
    </xf>
    <xf numFmtId="164" fontId="37" fillId="0" borderId="90" xfId="3" applyFont="1" applyBorder="1" applyAlignment="1">
      <alignment horizontal="center" vertical="center"/>
    </xf>
    <xf numFmtId="164" fontId="37" fillId="0" borderId="91" xfId="3" applyFont="1" applyBorder="1" applyAlignment="1">
      <alignment horizontal="center" vertical="center"/>
    </xf>
    <xf numFmtId="172" fontId="36" fillId="0" borderId="77" xfId="0" applyNumberFormat="1" applyFont="1" applyBorder="1" applyAlignment="1">
      <alignment vertical="center" wrapText="1"/>
    </xf>
    <xf numFmtId="168" fontId="36" fillId="0" borderId="55" xfId="6" applyNumberFormat="1" applyFont="1" applyBorder="1" applyAlignment="1">
      <alignment horizontal="center" vertical="center"/>
    </xf>
    <xf numFmtId="164" fontId="37" fillId="0" borderId="55" xfId="3" applyFont="1" applyBorder="1" applyAlignment="1">
      <alignment horizontal="center" vertical="center"/>
    </xf>
    <xf numFmtId="172" fontId="36" fillId="0" borderId="112" xfId="0" applyNumberFormat="1" applyFont="1" applyBorder="1" applyAlignment="1">
      <alignment vertical="center" wrapText="1"/>
    </xf>
    <xf numFmtId="168" fontId="36" fillId="0" borderId="6" xfId="6" applyNumberFormat="1" applyFont="1" applyBorder="1" applyAlignment="1">
      <alignment horizontal="center" vertical="center"/>
    </xf>
    <xf numFmtId="164" fontId="37" fillId="0" borderId="6" xfId="3" applyFont="1" applyBorder="1" applyAlignment="1">
      <alignment horizontal="center" vertical="center"/>
    </xf>
    <xf numFmtId="172" fontId="36" fillId="0" borderId="104" xfId="0" applyNumberFormat="1" applyFont="1" applyBorder="1" applyAlignment="1">
      <alignment vertical="center" wrapText="1"/>
    </xf>
    <xf numFmtId="172" fontId="36" fillId="0" borderId="4" xfId="0" applyNumberFormat="1" applyFont="1" applyBorder="1" applyAlignment="1">
      <alignment vertical="center" wrapText="1"/>
    </xf>
    <xf numFmtId="172" fontId="36" fillId="0" borderId="83" xfId="0" applyNumberFormat="1" applyFont="1" applyBorder="1" applyAlignment="1">
      <alignment vertical="center" wrapText="1"/>
    </xf>
    <xf numFmtId="164" fontId="36" fillId="0" borderId="14" xfId="3" applyFont="1" applyBorder="1" applyAlignment="1">
      <alignment vertical="center"/>
    </xf>
    <xf numFmtId="172" fontId="36" fillId="0" borderId="4" xfId="0" applyNumberFormat="1" applyFont="1" applyBorder="1" applyAlignment="1">
      <alignment vertical="center"/>
    </xf>
    <xf numFmtId="168" fontId="36" fillId="0" borderId="25" xfId="6" applyNumberFormat="1" applyFont="1" applyBorder="1" applyAlignment="1">
      <alignment horizontal="center" vertical="center"/>
    </xf>
    <xf numFmtId="168" fontId="36" fillId="0" borderId="29" xfId="6" applyNumberFormat="1" applyFont="1" applyBorder="1" applyAlignment="1">
      <alignment horizontal="center" vertical="center"/>
    </xf>
    <xf numFmtId="168" fontId="36" fillId="0" borderId="105" xfId="6" applyNumberFormat="1" applyFont="1" applyBorder="1" applyAlignment="1">
      <alignment horizontal="center" vertical="center"/>
    </xf>
    <xf numFmtId="164" fontId="36" fillId="0" borderId="59" xfId="3" applyFont="1" applyBorder="1" applyAlignment="1">
      <alignment horizontal="center" vertical="center"/>
    </xf>
    <xf numFmtId="172" fontId="36" fillId="0" borderId="86" xfId="0" applyNumberFormat="1" applyFont="1" applyBorder="1" applyAlignment="1">
      <alignment vertical="center" wrapText="1"/>
    </xf>
    <xf numFmtId="164" fontId="36" fillId="0" borderId="87" xfId="3" applyFont="1" applyBorder="1" applyAlignment="1">
      <alignment horizontal="center" vertical="center"/>
    </xf>
    <xf numFmtId="164" fontId="37" fillId="0" borderId="0" xfId="3" applyFont="1" applyAlignment="1">
      <alignment vertical="center"/>
    </xf>
    <xf numFmtId="177" fontId="36" fillId="0" borderId="56" xfId="9" applyFont="1" applyBorder="1" applyAlignment="1">
      <alignment horizontal="center" vertical="center"/>
    </xf>
    <xf numFmtId="177" fontId="36" fillId="0" borderId="57" xfId="9" applyFont="1" applyBorder="1" applyAlignment="1">
      <alignment horizontal="center" vertical="center"/>
    </xf>
    <xf numFmtId="177" fontId="36" fillId="0" borderId="119" xfId="9" applyFont="1" applyBorder="1" applyAlignment="1">
      <alignment horizontal="center" vertical="center"/>
    </xf>
    <xf numFmtId="177" fontId="36" fillId="0" borderId="104" xfId="9" applyFont="1" applyBorder="1" applyAlignment="1">
      <alignment horizontal="center" vertical="center"/>
    </xf>
    <xf numFmtId="177" fontId="36" fillId="0" borderId="105" xfId="9" applyFont="1" applyBorder="1" applyAlignment="1">
      <alignment horizontal="center" vertical="center"/>
    </xf>
    <xf numFmtId="177" fontId="36" fillId="0" borderId="12" xfId="9" applyFont="1" applyBorder="1" applyAlignment="1">
      <alignment horizontal="center" vertical="center"/>
    </xf>
    <xf numFmtId="177" fontId="36" fillId="0" borderId="58" xfId="9" applyFont="1" applyBorder="1" applyAlignment="1">
      <alignment horizontal="center" vertical="center"/>
    </xf>
    <xf numFmtId="1" fontId="36" fillId="0" borderId="59" xfId="9" applyNumberFormat="1" applyFont="1" applyBorder="1" applyAlignment="1">
      <alignment horizontal="center" vertical="center"/>
    </xf>
    <xf numFmtId="1" fontId="36" fillId="0" borderId="120" xfId="9" applyNumberFormat="1" applyFont="1" applyBorder="1" applyAlignment="1">
      <alignment horizontal="center" vertical="center"/>
    </xf>
    <xf numFmtId="1" fontId="36" fillId="0" borderId="83" xfId="9" applyNumberFormat="1" applyFont="1" applyBorder="1" applyAlignment="1">
      <alignment horizontal="center" vertical="center"/>
    </xf>
    <xf numFmtId="1" fontId="36" fillId="0" borderId="84" xfId="9" applyNumberFormat="1" applyFont="1" applyBorder="1" applyAlignment="1">
      <alignment horizontal="center" vertical="center"/>
    </xf>
    <xf numFmtId="177" fontId="36" fillId="0" borderId="16" xfId="9" applyFont="1" applyBorder="1" applyAlignment="1">
      <alignment horizontal="center" vertical="center"/>
    </xf>
    <xf numFmtId="177" fontId="36" fillId="0" borderId="67" xfId="9" applyFont="1" applyBorder="1" applyAlignment="1">
      <alignment horizontal="center" vertical="center"/>
    </xf>
    <xf numFmtId="3" fontId="36" fillId="0" borderId="94" xfId="9" applyNumberFormat="1" applyFont="1" applyBorder="1" applyAlignment="1">
      <alignment horizontal="center" vertical="center"/>
    </xf>
    <xf numFmtId="3" fontId="36" fillId="0" borderId="17" xfId="9" applyNumberFormat="1" applyFont="1" applyBorder="1" applyAlignment="1">
      <alignment horizontal="center" vertical="center"/>
    </xf>
    <xf numFmtId="177" fontId="36" fillId="0" borderId="0" xfId="9" applyFont="1" applyAlignment="1">
      <alignment horizontal="center" vertical="center"/>
    </xf>
    <xf numFmtId="0" fontId="0" fillId="0" borderId="0" xfId="0" applyAlignment="1">
      <alignment horizontal="right" vertical="center"/>
    </xf>
    <xf numFmtId="177" fontId="36" fillId="0" borderId="69" xfId="9" applyFont="1" applyBorder="1" applyAlignment="1">
      <alignment horizontal="left" vertical="center"/>
    </xf>
    <xf numFmtId="177" fontId="36" fillId="0" borderId="38" xfId="9" applyFont="1" applyBorder="1" applyAlignment="1">
      <alignment horizontal="center" vertical="center"/>
    </xf>
    <xf numFmtId="178" fontId="36" fillId="0" borderId="38" xfId="9" applyNumberFormat="1" applyFont="1" applyBorder="1" applyAlignment="1">
      <alignment horizontal="center" vertical="center"/>
    </xf>
    <xf numFmtId="177" fontId="36" fillId="0" borderId="75" xfId="9" applyFont="1" applyBorder="1" applyAlignment="1">
      <alignment horizontal="center" vertical="center"/>
    </xf>
    <xf numFmtId="168" fontId="0" fillId="0" borderId="0" xfId="10" applyNumberFormat="1" applyFont="1" applyAlignment="1">
      <alignment horizontal="center" vertical="center"/>
    </xf>
    <xf numFmtId="177" fontId="36" fillId="0" borderId="4" xfId="9" applyFont="1" applyBorder="1" applyAlignment="1">
      <alignment horizontal="center" vertical="center"/>
    </xf>
    <xf numFmtId="3" fontId="36" fillId="5" borderId="1" xfId="9" applyNumberFormat="1" applyFont="1" applyFill="1" applyBorder="1" applyAlignment="1">
      <alignment horizontal="center" vertical="center"/>
    </xf>
    <xf numFmtId="3" fontId="36" fillId="0" borderId="5" xfId="9" applyNumberFormat="1" applyFont="1" applyBorder="1" applyAlignment="1">
      <alignment horizontal="center" vertical="center"/>
    </xf>
    <xf numFmtId="177" fontId="36" fillId="0" borderId="121" xfId="9" applyFont="1" applyBorder="1" applyAlignment="1">
      <alignment horizontal="center" vertical="center"/>
    </xf>
    <xf numFmtId="177" fontId="36" fillId="0" borderId="1" xfId="9" applyFont="1" applyBorder="1" applyAlignment="1">
      <alignment horizontal="center" vertical="center"/>
    </xf>
    <xf numFmtId="177" fontId="36" fillId="0" borderId="122" xfId="9" applyFont="1" applyBorder="1" applyAlignment="1">
      <alignment horizontal="center" vertical="center"/>
    </xf>
    <xf numFmtId="177" fontId="36" fillId="0" borderId="123" xfId="9" applyFont="1" applyBorder="1" applyAlignment="1">
      <alignment horizontal="center" vertical="center"/>
    </xf>
    <xf numFmtId="3" fontId="36" fillId="0" borderId="100" xfId="9" applyNumberFormat="1" applyFont="1" applyBorder="1" applyAlignment="1">
      <alignment horizontal="center" vertical="center"/>
    </xf>
    <xf numFmtId="3" fontId="36" fillId="0" borderId="122" xfId="9" applyNumberFormat="1" applyFont="1" applyBorder="1" applyAlignment="1">
      <alignment horizontal="center" vertical="center"/>
    </xf>
    <xf numFmtId="37" fontId="36" fillId="0" borderId="106" xfId="9" applyNumberFormat="1" applyFont="1" applyBorder="1" applyAlignment="1">
      <alignment horizontal="center" vertical="center"/>
    </xf>
    <xf numFmtId="3" fontId="39" fillId="0" borderId="1" xfId="9" applyNumberFormat="1" applyFont="1" applyBorder="1" applyAlignment="1">
      <alignment horizontal="center" vertical="center"/>
    </xf>
    <xf numFmtId="3" fontId="36" fillId="0" borderId="55" xfId="9" applyNumberFormat="1" applyFont="1" applyBorder="1" applyAlignment="1">
      <alignment horizontal="center" vertical="center"/>
    </xf>
    <xf numFmtId="3" fontId="36" fillId="0" borderId="101" xfId="9" applyNumberFormat="1" applyFont="1" applyBorder="1" applyAlignment="1">
      <alignment horizontal="center" vertical="center"/>
    </xf>
    <xf numFmtId="179" fontId="36" fillId="0" borderId="124" xfId="9" applyNumberFormat="1" applyFont="1" applyBorder="1" applyAlignment="1">
      <alignment horizontal="center" vertical="center"/>
    </xf>
    <xf numFmtId="3" fontId="36" fillId="0" borderId="125" xfId="10" applyNumberFormat="1" applyFont="1" applyBorder="1" applyAlignment="1">
      <alignment horizontal="center" vertical="center"/>
    </xf>
    <xf numFmtId="3" fontId="36" fillId="0" borderId="126" xfId="10" applyNumberFormat="1" applyFont="1" applyBorder="1" applyAlignment="1">
      <alignment horizontal="center" vertical="center"/>
    </xf>
    <xf numFmtId="3" fontId="36" fillId="0" borderId="84" xfId="10" applyNumberFormat="1" applyFont="1" applyBorder="1" applyAlignment="1">
      <alignment horizontal="center" vertical="center"/>
    </xf>
    <xf numFmtId="3" fontId="36" fillId="0" borderId="127" xfId="9" applyNumberFormat="1" applyFont="1" applyBorder="1" applyAlignment="1">
      <alignment horizontal="center" vertical="center"/>
    </xf>
    <xf numFmtId="177" fontId="36" fillId="0" borderId="3" xfId="9" applyFont="1" applyBorder="1" applyAlignment="1">
      <alignment horizontal="center" vertical="center"/>
    </xf>
    <xf numFmtId="177" fontId="36" fillId="0" borderId="60" xfId="9" applyFont="1" applyBorder="1" applyAlignment="1">
      <alignment horizontal="center" vertical="center"/>
    </xf>
    <xf numFmtId="3" fontId="36" fillId="0" borderId="60" xfId="9" applyNumberFormat="1" applyFont="1" applyBorder="1" applyAlignment="1">
      <alignment horizontal="center" vertical="center"/>
    </xf>
    <xf numFmtId="3" fontId="36" fillId="0" borderId="3" xfId="9" applyNumberFormat="1" applyFont="1" applyBorder="1" applyAlignment="1">
      <alignment horizontal="center" vertical="center"/>
    </xf>
    <xf numFmtId="3" fontId="39" fillId="0" borderId="100" xfId="9" applyNumberFormat="1" applyFont="1" applyBorder="1" applyAlignment="1">
      <alignment horizontal="center" vertical="center"/>
    </xf>
    <xf numFmtId="3" fontId="39" fillId="0" borderId="55" xfId="9" applyNumberFormat="1" applyFont="1" applyBorder="1" applyAlignment="1">
      <alignment horizontal="center" vertical="center"/>
    </xf>
    <xf numFmtId="3" fontId="36" fillId="0" borderId="128" xfId="9" applyNumberFormat="1" applyFont="1" applyBorder="1" applyAlignment="1">
      <alignment horizontal="center" vertical="center"/>
    </xf>
    <xf numFmtId="3" fontId="36" fillId="0" borderId="129" xfId="10" applyNumberFormat="1" applyFont="1" applyBorder="1" applyAlignment="1">
      <alignment horizontal="center" vertical="center"/>
    </xf>
    <xf numFmtId="3" fontId="36" fillId="0" borderId="130" xfId="10" applyNumberFormat="1" applyFont="1" applyBorder="1" applyAlignment="1">
      <alignment horizontal="center" vertical="center"/>
    </xf>
    <xf numFmtId="3" fontId="36" fillId="0" borderId="100" xfId="10" applyNumberFormat="1" applyFont="1" applyBorder="1" applyAlignment="1">
      <alignment horizontal="center" vertical="center"/>
    </xf>
    <xf numFmtId="3" fontId="39" fillId="0" borderId="1" xfId="10" applyNumberFormat="1" applyFont="1" applyBorder="1" applyAlignment="1">
      <alignment horizontal="center" vertical="center"/>
    </xf>
    <xf numFmtId="3" fontId="39" fillId="0" borderId="6" xfId="9" applyNumberFormat="1" applyFont="1" applyBorder="1" applyAlignment="1">
      <alignment horizontal="center" vertical="center"/>
    </xf>
    <xf numFmtId="3" fontId="36" fillId="0" borderId="125" xfId="9" applyNumberFormat="1" applyFont="1" applyBorder="1" applyAlignment="1">
      <alignment horizontal="center" vertical="center"/>
    </xf>
    <xf numFmtId="3" fontId="36" fillId="0" borderId="84" xfId="9" applyNumberFormat="1" applyFont="1" applyBorder="1" applyAlignment="1">
      <alignment horizontal="center" vertical="center"/>
    </xf>
    <xf numFmtId="177" fontId="36" fillId="0" borderId="106" xfId="9" applyFont="1" applyBorder="1" applyAlignment="1">
      <alignment horizontal="center" vertical="center"/>
    </xf>
    <xf numFmtId="179" fontId="36" fillId="0" borderId="106" xfId="9" applyNumberFormat="1" applyFont="1" applyBorder="1" applyAlignment="1">
      <alignment horizontal="center" vertical="center"/>
    </xf>
    <xf numFmtId="3" fontId="36" fillId="0" borderId="0" xfId="9" applyNumberFormat="1" applyFont="1" applyAlignment="1">
      <alignment horizontal="center" vertical="center"/>
    </xf>
    <xf numFmtId="3" fontId="36" fillId="0" borderId="131" xfId="9" applyNumberFormat="1" applyFont="1" applyBorder="1" applyAlignment="1">
      <alignment horizontal="center" vertical="center"/>
    </xf>
    <xf numFmtId="3" fontId="36" fillId="0" borderId="55" xfId="10" applyNumberFormat="1" applyFont="1" applyBorder="1" applyAlignment="1">
      <alignment horizontal="center" vertical="center"/>
    </xf>
    <xf numFmtId="177" fontId="36" fillId="0" borderId="128" xfId="9" applyFont="1" applyBorder="1" applyAlignment="1">
      <alignment horizontal="center" vertical="center"/>
    </xf>
    <xf numFmtId="3" fontId="36" fillId="0" borderId="126" xfId="9" applyNumberFormat="1" applyFont="1" applyBorder="1" applyAlignment="1">
      <alignment horizontal="center" vertical="center"/>
    </xf>
    <xf numFmtId="177" fontId="36" fillId="0" borderId="38" xfId="9" applyFont="1" applyBorder="1" applyAlignment="1">
      <alignment horizontal="left" vertical="center"/>
    </xf>
    <xf numFmtId="177" fontId="36" fillId="0" borderId="2" xfId="9" applyFont="1" applyBorder="1" applyAlignment="1">
      <alignment horizontal="center" vertical="center"/>
    </xf>
    <xf numFmtId="177" fontId="36" fillId="0" borderId="132" xfId="9" applyFont="1" applyBorder="1" applyAlignment="1">
      <alignment horizontal="center" vertical="center"/>
    </xf>
    <xf numFmtId="3" fontId="36" fillId="0" borderId="129" xfId="9" applyNumberFormat="1" applyFont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32" fillId="6" borderId="0" xfId="3" applyFont="1" applyFill="1" applyAlignment="1">
      <alignment vertical="center"/>
    </xf>
    <xf numFmtId="9" fontId="18" fillId="0" borderId="11" xfId="2" applyFont="1" applyBorder="1" applyAlignment="1">
      <alignment horizontal="center" vertical="center"/>
    </xf>
    <xf numFmtId="9" fontId="18" fillId="0" borderId="5" xfId="2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169" fontId="25" fillId="0" borderId="0" xfId="0" applyNumberFormat="1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vertical="center" wrapText="1"/>
      <protection hidden="1"/>
    </xf>
    <xf numFmtId="169" fontId="18" fillId="0" borderId="0" xfId="0" applyNumberFormat="1" applyFont="1" applyAlignment="1" applyProtection="1">
      <alignment horizontal="center" vertical="center"/>
      <protection hidden="1"/>
    </xf>
    <xf numFmtId="0" fontId="42" fillId="7" borderId="0" xfId="0" applyFont="1" applyFill="1" applyAlignment="1">
      <alignment horizontal="left" vertical="center"/>
    </xf>
    <xf numFmtId="0" fontId="42" fillId="8" borderId="0" xfId="0" applyFont="1" applyFill="1" applyAlignment="1">
      <alignment horizontal="left" vertical="center"/>
    </xf>
    <xf numFmtId="180" fontId="35" fillId="7" borderId="0" xfId="2" applyNumberFormat="1" applyFont="1" applyFill="1" applyAlignment="1">
      <alignment horizontal="center" vertical="center"/>
    </xf>
    <xf numFmtId="180" fontId="35" fillId="8" borderId="0" xfId="2" applyNumberFormat="1" applyFont="1" applyFill="1" applyAlignment="1">
      <alignment horizontal="center" vertical="center"/>
    </xf>
    <xf numFmtId="168" fontId="45" fillId="0" borderId="0" xfId="3" applyNumberFormat="1" applyFont="1" applyAlignment="1">
      <alignment horizontal="center" vertical="center"/>
    </xf>
    <xf numFmtId="168" fontId="45" fillId="8" borderId="0" xfId="3" applyNumberFormat="1" applyFont="1" applyFill="1" applyAlignment="1">
      <alignment horizontal="center" vertical="center"/>
    </xf>
    <xf numFmtId="176" fontId="35" fillId="7" borderId="0" xfId="2" applyNumberFormat="1" applyFont="1" applyFill="1" applyAlignment="1">
      <alignment horizontal="center" vertical="center"/>
    </xf>
    <xf numFmtId="172" fontId="36" fillId="0" borderId="65" xfId="0" applyNumberFormat="1" applyFont="1" applyBorder="1" applyAlignment="1">
      <alignment vertical="center"/>
    </xf>
    <xf numFmtId="1" fontId="39" fillId="0" borderId="17" xfId="0" applyNumberFormat="1" applyFont="1" applyBorder="1" applyAlignment="1">
      <alignment horizontal="left" vertical="center"/>
    </xf>
    <xf numFmtId="10" fontId="0" fillId="2" borderId="0" xfId="2" applyNumberFormat="1" applyFont="1" applyFill="1"/>
    <xf numFmtId="0" fontId="17" fillId="0" borderId="0" xfId="0" applyFont="1" applyAlignment="1">
      <alignment horizontal="left" vertical="center"/>
    </xf>
    <xf numFmtId="0" fontId="17" fillId="0" borderId="18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 wrapText="1"/>
    </xf>
    <xf numFmtId="164" fontId="0" fillId="0" borderId="0" xfId="3" applyFont="1"/>
    <xf numFmtId="164" fontId="0" fillId="0" borderId="1" xfId="3" applyFont="1" applyBorder="1" applyAlignment="1">
      <alignment horizontal="center" vertical="center"/>
    </xf>
    <xf numFmtId="176" fontId="20" fillId="2" borderId="17" xfId="0" applyNumberFormat="1" applyFont="1" applyFill="1" applyBorder="1"/>
    <xf numFmtId="0" fontId="0" fillId="0" borderId="17" xfId="0" applyBorder="1" applyAlignment="1">
      <alignment horizontal="center"/>
    </xf>
    <xf numFmtId="0" fontId="0" fillId="0" borderId="77" xfId="0" applyBorder="1"/>
    <xf numFmtId="4" fontId="18" fillId="0" borderId="112" xfId="0" applyNumberFormat="1" applyFont="1" applyBorder="1" applyAlignment="1">
      <alignment horizontal="center" vertical="center"/>
    </xf>
    <xf numFmtId="4" fontId="18" fillId="0" borderId="6" xfId="0" applyNumberFormat="1" applyFont="1" applyBorder="1" applyAlignment="1">
      <alignment horizontal="center" vertical="center"/>
    </xf>
    <xf numFmtId="3" fontId="18" fillId="0" borderId="6" xfId="0" applyNumberFormat="1" applyFont="1" applyBorder="1" applyAlignment="1">
      <alignment horizontal="center" vertical="center"/>
    </xf>
    <xf numFmtId="4" fontId="18" fillId="0" borderId="7" xfId="0" applyNumberFormat="1" applyFont="1" applyBorder="1" applyAlignment="1">
      <alignment horizontal="center" vertical="center"/>
    </xf>
    <xf numFmtId="0" fontId="17" fillId="0" borderId="16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 wrapText="1"/>
    </xf>
    <xf numFmtId="3" fontId="24" fillId="0" borderId="112" xfId="0" applyNumberFormat="1" applyFont="1" applyBorder="1" applyAlignment="1">
      <alignment horizontal="center" vertical="center"/>
    </xf>
    <xf numFmtId="3" fontId="24" fillId="0" borderId="6" xfId="0" applyNumberFormat="1" applyFont="1" applyBorder="1" applyAlignment="1">
      <alignment horizontal="center" vertical="center"/>
    </xf>
    <xf numFmtId="3" fontId="24" fillId="0" borderId="32" xfId="0" applyNumberFormat="1" applyFont="1" applyBorder="1" applyAlignment="1">
      <alignment horizontal="center" vertical="center"/>
    </xf>
    <xf numFmtId="3" fontId="18" fillId="0" borderId="112" xfId="0" applyNumberFormat="1" applyFont="1" applyBorder="1" applyAlignment="1">
      <alignment horizontal="center" vertical="center"/>
    </xf>
    <xf numFmtId="3" fontId="18" fillId="0" borderId="28" xfId="0" applyNumberFormat="1" applyFont="1" applyBorder="1" applyAlignment="1">
      <alignment horizontal="center" vertical="center"/>
    </xf>
    <xf numFmtId="9" fontId="18" fillId="0" borderId="7" xfId="2" applyFont="1" applyBorder="1" applyAlignment="1">
      <alignment horizontal="center" vertical="center"/>
    </xf>
    <xf numFmtId="4" fontId="18" fillId="0" borderId="28" xfId="0" applyNumberFormat="1" applyFont="1" applyBorder="1" applyAlignment="1">
      <alignment horizontal="center" vertical="center"/>
    </xf>
    <xf numFmtId="3" fontId="24" fillId="0" borderId="2" xfId="0" applyNumberFormat="1" applyFont="1" applyBorder="1" applyAlignment="1">
      <alignment horizontal="center" vertical="center"/>
    </xf>
    <xf numFmtId="9" fontId="24" fillId="0" borderId="11" xfId="2" applyFont="1" applyBorder="1" applyAlignment="1">
      <alignment horizontal="center" vertical="center"/>
    </xf>
    <xf numFmtId="9" fontId="24" fillId="0" borderId="7" xfId="2" applyFont="1" applyBorder="1" applyAlignment="1">
      <alignment horizontal="center" vertical="center"/>
    </xf>
    <xf numFmtId="3" fontId="9" fillId="0" borderId="112" xfId="0" applyNumberFormat="1" applyFont="1" applyBorder="1" applyAlignment="1">
      <alignment horizontal="center" vertical="center"/>
    </xf>
    <xf numFmtId="4" fontId="9" fillId="0" borderId="6" xfId="0" applyNumberFormat="1" applyFont="1" applyBorder="1" applyAlignment="1">
      <alignment horizontal="center" vertical="center"/>
    </xf>
    <xf numFmtId="3" fontId="9" fillId="0" borderId="28" xfId="0" applyNumberFormat="1" applyFont="1" applyBorder="1" applyAlignment="1">
      <alignment horizontal="center" vertical="center"/>
    </xf>
    <xf numFmtId="0" fontId="19" fillId="0" borderId="0" xfId="1" applyFont="1" applyAlignment="1">
      <alignment vertical="center"/>
    </xf>
    <xf numFmtId="0" fontId="19" fillId="0" borderId="0" xfId="1" applyFont="1" applyAlignment="1">
      <alignment horizontal="right" vertical="center"/>
    </xf>
    <xf numFmtId="0" fontId="2" fillId="0" borderId="0" xfId="1" applyAlignment="1">
      <alignment vertical="center"/>
    </xf>
    <xf numFmtId="2" fontId="20" fillId="6" borderId="0" xfId="1" applyNumberFormat="1" applyFont="1" applyFill="1" applyAlignment="1">
      <alignment horizontal="center" vertical="center"/>
    </xf>
    <xf numFmtId="0" fontId="20" fillId="0" borderId="17" xfId="1" applyFont="1" applyBorder="1" applyAlignment="1">
      <alignment horizontal="center" vertical="center" wrapText="1"/>
    </xf>
    <xf numFmtId="17" fontId="20" fillId="0" borderId="0" xfId="1" applyNumberFormat="1" applyFont="1" applyAlignment="1">
      <alignment horizontal="center" vertical="center"/>
    </xf>
    <xf numFmtId="17" fontId="20" fillId="0" borderId="17" xfId="1" applyNumberFormat="1" applyFont="1" applyBorder="1" applyAlignment="1">
      <alignment horizontal="center" vertical="center"/>
    </xf>
    <xf numFmtId="17" fontId="20" fillId="0" borderId="15" xfId="1" applyNumberFormat="1" applyFont="1" applyBorder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20" fillId="0" borderId="0" xfId="1" applyFont="1" applyAlignment="1">
      <alignment vertical="center"/>
    </xf>
    <xf numFmtId="4" fontId="2" fillId="0" borderId="0" xfId="1" applyNumberFormat="1" applyAlignment="1">
      <alignment horizontal="center" vertical="center"/>
    </xf>
    <xf numFmtId="164" fontId="2" fillId="0" borderId="0" xfId="3" applyAlignment="1">
      <alignment horizontal="center" vertical="center"/>
    </xf>
    <xf numFmtId="4" fontId="20" fillId="0" borderId="0" xfId="1" applyNumberFormat="1" applyFont="1" applyAlignment="1">
      <alignment horizontal="center" vertical="center"/>
    </xf>
    <xf numFmtId="164" fontId="2" fillId="0" borderId="0" xfId="3" applyAlignment="1">
      <alignment vertical="center"/>
    </xf>
    <xf numFmtId="4" fontId="2" fillId="0" borderId="0" xfId="1" applyNumberFormat="1" applyAlignment="1">
      <alignment vertical="center"/>
    </xf>
    <xf numFmtId="0" fontId="17" fillId="0" borderId="13" xfId="1" applyFont="1" applyBorder="1" applyAlignment="1">
      <alignment horizontal="center" vertical="center" wrapText="1"/>
    </xf>
    <xf numFmtId="0" fontId="17" fillId="0" borderId="17" xfId="1" applyFont="1" applyBorder="1" applyAlignment="1">
      <alignment horizontal="center" vertical="center" wrapText="1"/>
    </xf>
    <xf numFmtId="0" fontId="17" fillId="0" borderId="47" xfId="1" applyFont="1" applyBorder="1" applyAlignment="1">
      <alignment horizontal="center" vertical="center"/>
    </xf>
    <xf numFmtId="4" fontId="18" fillId="0" borderId="11" xfId="1" applyNumberFormat="1" applyFont="1" applyBorder="1" applyAlignment="1">
      <alignment horizontal="center" vertical="center"/>
    </xf>
    <xf numFmtId="4" fontId="18" fillId="0" borderId="2" xfId="1" applyNumberFormat="1" applyFont="1" applyBorder="1" applyAlignment="1">
      <alignment horizontal="center" vertical="center"/>
    </xf>
    <xf numFmtId="0" fontId="17" fillId="0" borderId="26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0" fontId="17" fillId="0" borderId="30" xfId="1" applyFont="1" applyBorder="1" applyAlignment="1">
      <alignment horizontal="center" vertical="center"/>
    </xf>
    <xf numFmtId="4" fontId="18" fillId="0" borderId="7" xfId="1" applyNumberFormat="1" applyFont="1" applyBorder="1" applyAlignment="1">
      <alignment horizontal="center" vertical="center"/>
    </xf>
    <xf numFmtId="4" fontId="18" fillId="0" borderId="6" xfId="1" applyNumberFormat="1" applyFont="1" applyBorder="1" applyAlignment="1">
      <alignment horizontal="center" vertical="center"/>
    </xf>
    <xf numFmtId="0" fontId="20" fillId="0" borderId="17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112" xfId="0" applyFont="1" applyBorder="1" applyAlignment="1">
      <alignment horizontal="center" vertical="center"/>
    </xf>
    <xf numFmtId="4" fontId="18" fillId="0" borderId="6" xfId="0" quotePrefix="1" applyNumberFormat="1" applyFont="1" applyBorder="1" applyAlignment="1">
      <alignment horizontal="center" vertical="center"/>
    </xf>
    <xf numFmtId="4" fontId="18" fillId="0" borderId="5" xfId="0" applyNumberFormat="1" applyFont="1" applyBorder="1" applyAlignment="1">
      <alignment horizontal="center" vertical="center"/>
    </xf>
    <xf numFmtId="170" fontId="18" fillId="0" borderId="24" xfId="0" applyNumberFormat="1" applyFont="1" applyBorder="1" applyAlignment="1">
      <alignment horizontal="center" vertical="center"/>
    </xf>
    <xf numFmtId="170" fontId="18" fillId="0" borderId="112" xfId="0" applyNumberFormat="1" applyFont="1" applyBorder="1" applyAlignment="1">
      <alignment horizontal="center" vertical="center"/>
    </xf>
    <xf numFmtId="0" fontId="18" fillId="2" borderId="0" xfId="0" applyFont="1" applyFill="1"/>
    <xf numFmtId="8" fontId="48" fillId="2" borderId="116" xfId="0" applyNumberFormat="1" applyFont="1" applyFill="1" applyBorder="1" applyAlignment="1">
      <alignment horizontal="center" wrapText="1"/>
    </xf>
    <xf numFmtId="180" fontId="25" fillId="2" borderId="15" xfId="0" applyNumberFormat="1" applyFont="1" applyFill="1" applyBorder="1" applyAlignment="1">
      <alignment horizontal="left"/>
    </xf>
    <xf numFmtId="0" fontId="18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wrapText="1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wrapText="1"/>
    </xf>
    <xf numFmtId="44" fontId="18" fillId="0" borderId="1" xfId="5" applyFont="1" applyBorder="1" applyAlignment="1">
      <alignment horizontal="center" vertical="center"/>
    </xf>
    <xf numFmtId="0" fontId="18" fillId="0" borderId="1" xfId="0" applyFont="1" applyBorder="1" applyAlignment="1">
      <alignment vertical="center" wrapText="1"/>
    </xf>
    <xf numFmtId="0" fontId="18" fillId="0" borderId="0" xfId="0" applyFont="1" applyAlignment="1">
      <alignment wrapText="1"/>
    </xf>
    <xf numFmtId="0" fontId="0" fillId="0" borderId="39" xfId="0" applyBorder="1" applyAlignment="1">
      <alignment horizontal="center" vertical="center"/>
    </xf>
    <xf numFmtId="0" fontId="0" fillId="0" borderId="0" xfId="0" applyAlignment="1">
      <alignment wrapText="1"/>
    </xf>
    <xf numFmtId="44" fontId="18" fillId="0" borderId="0" xfId="5" applyFont="1" applyAlignment="1">
      <alignment horizontal="center" vertical="center"/>
    </xf>
    <xf numFmtId="44" fontId="0" fillId="0" borderId="39" xfId="5" applyFont="1" applyBorder="1" applyAlignment="1">
      <alignment horizontal="center" vertical="center"/>
    </xf>
    <xf numFmtId="164" fontId="0" fillId="0" borderId="46" xfId="3" applyFont="1" applyBorder="1"/>
    <xf numFmtId="164" fontId="0" fillId="0" borderId="0" xfId="3" applyFont="1" applyAlignment="1">
      <alignment horizontal="center" vertical="center"/>
    </xf>
    <xf numFmtId="0" fontId="18" fillId="0" borderId="1" xfId="0" applyFont="1" applyBorder="1" applyAlignment="1">
      <alignment horizontal="left" wrapText="1"/>
    </xf>
    <xf numFmtId="0" fontId="20" fillId="0" borderId="66" xfId="0" applyFont="1" applyBorder="1" applyAlignment="1">
      <alignment horizontal="center" vertical="center"/>
    </xf>
    <xf numFmtId="4" fontId="21" fillId="0" borderId="17" xfId="0" applyNumberFormat="1" applyFont="1" applyBorder="1" applyAlignment="1">
      <alignment horizontal="center" vertical="center"/>
    </xf>
    <xf numFmtId="0" fontId="17" fillId="0" borderId="0" xfId="0" applyFont="1" applyAlignment="1">
      <alignment vertical="center" wrapText="1"/>
    </xf>
    <xf numFmtId="164" fontId="17" fillId="0" borderId="0" xfId="3" applyFont="1" applyAlignment="1">
      <alignment vertical="center"/>
    </xf>
    <xf numFmtId="0" fontId="17" fillId="2" borderId="37" xfId="0" applyFont="1" applyFill="1" applyBorder="1" applyAlignment="1">
      <alignment horizontal="center" vertical="center"/>
    </xf>
    <xf numFmtId="0" fontId="17" fillId="2" borderId="23" xfId="0" applyFont="1" applyFill="1" applyBorder="1" applyAlignment="1">
      <alignment horizontal="center" vertical="center"/>
    </xf>
    <xf numFmtId="0" fontId="17" fillId="0" borderId="66" xfId="0" applyFont="1" applyBorder="1" applyAlignment="1">
      <alignment horizontal="center" vertical="center"/>
    </xf>
    <xf numFmtId="4" fontId="17" fillId="0" borderId="17" xfId="0" applyNumberFormat="1" applyFont="1" applyBorder="1" applyAlignment="1">
      <alignment horizontal="center" vertical="center"/>
    </xf>
    <xf numFmtId="4" fontId="18" fillId="0" borderId="40" xfId="0" applyNumberFormat="1" applyFont="1" applyBorder="1" applyAlignment="1">
      <alignment horizontal="center" vertical="center"/>
    </xf>
    <xf numFmtId="4" fontId="18" fillId="0" borderId="24" xfId="0" applyNumberFormat="1" applyFont="1" applyBorder="1" applyAlignment="1">
      <alignment horizontal="center" vertical="center"/>
    </xf>
    <xf numFmtId="0" fontId="17" fillId="0" borderId="67" xfId="0" applyFont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horizontal="centerContinuous" vertical="center"/>
    </xf>
    <xf numFmtId="0" fontId="17" fillId="0" borderId="35" xfId="0" applyFont="1" applyBorder="1" applyAlignment="1">
      <alignment horizontal="center" vertical="center"/>
    </xf>
    <xf numFmtId="9" fontId="18" fillId="0" borderId="71" xfId="2" applyFont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9" fontId="18" fillId="0" borderId="72" xfId="2" applyFont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4" fontId="24" fillId="0" borderId="20" xfId="0" applyNumberFormat="1" applyFont="1" applyBorder="1" applyAlignment="1">
      <alignment horizontal="center" vertical="center"/>
    </xf>
    <xf numFmtId="4" fontId="24" fillId="0" borderId="11" xfId="0" applyNumberFormat="1" applyFont="1" applyBorder="1" applyAlignment="1">
      <alignment horizontal="center" vertical="center"/>
    </xf>
    <xf numFmtId="37" fontId="40" fillId="0" borderId="13" xfId="0" applyNumberFormat="1" applyFont="1" applyBorder="1" applyAlignment="1">
      <alignment vertical="center"/>
    </xf>
    <xf numFmtId="172" fontId="39" fillId="0" borderId="14" xfId="0" applyNumberFormat="1" applyFont="1" applyBorder="1" applyAlignment="1">
      <alignment horizontal="center" vertical="center"/>
    </xf>
    <xf numFmtId="164" fontId="41" fillId="0" borderId="14" xfId="3" applyFont="1" applyBorder="1" applyAlignment="1">
      <alignment vertical="center"/>
    </xf>
    <xf numFmtId="37" fontId="40" fillId="0" borderId="69" xfId="0" applyNumberFormat="1" applyFont="1" applyBorder="1" applyAlignment="1">
      <alignment vertical="center"/>
    </xf>
    <xf numFmtId="172" fontId="39" fillId="0" borderId="104" xfId="0" applyNumberFormat="1" applyFont="1" applyBorder="1" applyAlignment="1">
      <alignment horizontal="center" vertical="center"/>
    </xf>
    <xf numFmtId="164" fontId="41" fillId="0" borderId="57" xfId="3" applyFont="1" applyBorder="1" applyAlignment="1">
      <alignment vertical="center"/>
    </xf>
    <xf numFmtId="0" fontId="18" fillId="0" borderId="0" xfId="0" applyFont="1" applyAlignment="1">
      <alignment horizontal="centerContinuous" vertical="center"/>
    </xf>
    <xf numFmtId="0" fontId="18" fillId="0" borderId="0" xfId="0" applyFont="1" applyAlignment="1">
      <alignment horizontal="right" vertical="center"/>
    </xf>
    <xf numFmtId="0" fontId="17" fillId="0" borderId="4" xfId="0" applyFont="1" applyBorder="1" applyAlignment="1">
      <alignment vertical="center"/>
    </xf>
    <xf numFmtId="0" fontId="18" fillId="0" borderId="4" xfId="0" applyFont="1" applyBorder="1" applyAlignment="1">
      <alignment vertical="center"/>
    </xf>
    <xf numFmtId="0" fontId="18" fillId="0" borderId="4" xfId="0" quotePrefix="1" applyFont="1" applyBorder="1" applyAlignment="1">
      <alignment horizontal="left" vertical="center"/>
    </xf>
    <xf numFmtId="0" fontId="17" fillId="0" borderId="112" xfId="0" applyFont="1" applyBorder="1" applyAlignment="1">
      <alignment vertical="center"/>
    </xf>
    <xf numFmtId="0" fontId="17" fillId="0" borderId="67" xfId="0" applyFont="1" applyBorder="1" applyAlignment="1">
      <alignment vertical="center"/>
    </xf>
    <xf numFmtId="40" fontId="17" fillId="0" borderId="0" xfId="2" applyNumberFormat="1" applyFont="1" applyAlignment="1">
      <alignment horizontal="center" vertical="center"/>
    </xf>
    <xf numFmtId="10" fontId="17" fillId="0" borderId="0" xfId="2" applyNumberFormat="1" applyFont="1" applyAlignment="1">
      <alignment horizontal="center" vertical="center"/>
    </xf>
    <xf numFmtId="0" fontId="17" fillId="0" borderId="74" xfId="0" applyFont="1" applyBorder="1" applyAlignment="1">
      <alignment vertical="center"/>
    </xf>
    <xf numFmtId="0" fontId="18" fillId="0" borderId="121" xfId="0" applyFont="1" applyBorder="1" applyAlignment="1">
      <alignment horizontal="left" vertical="center" indent="2"/>
    </xf>
    <xf numFmtId="0" fontId="18" fillId="0" borderId="4" xfId="0" applyFont="1" applyBorder="1" applyAlignment="1">
      <alignment horizontal="left" vertical="center" indent="1"/>
    </xf>
    <xf numFmtId="10" fontId="18" fillId="0" borderId="0" xfId="2" applyNumberFormat="1" applyFont="1" applyAlignment="1">
      <alignment vertical="center"/>
    </xf>
    <xf numFmtId="37" fontId="18" fillId="0" borderId="0" xfId="0" applyNumberFormat="1" applyFont="1" applyAlignment="1">
      <alignment horizontal="right" vertical="center"/>
    </xf>
    <xf numFmtId="1" fontId="18" fillId="0" borderId="0" xfId="0" applyNumberFormat="1" applyFont="1" applyAlignment="1">
      <alignment vertical="center"/>
    </xf>
    <xf numFmtId="0" fontId="35" fillId="0" borderId="0" xfId="0" applyFont="1" applyAlignment="1">
      <alignment vertical="center"/>
    </xf>
    <xf numFmtId="181" fontId="39" fillId="0" borderId="17" xfId="7" applyNumberFormat="1" applyFont="1" applyBorder="1" applyAlignment="1">
      <alignment vertical="center"/>
    </xf>
    <xf numFmtId="181" fontId="36" fillId="0" borderId="0" xfId="0" applyNumberFormat="1" applyFont="1" applyAlignment="1">
      <alignment vertical="center"/>
    </xf>
    <xf numFmtId="182" fontId="36" fillId="0" borderId="0" xfId="0" applyNumberFormat="1" applyFont="1" applyAlignment="1">
      <alignment vertical="center"/>
    </xf>
    <xf numFmtId="182" fontId="39" fillId="0" borderId="0" xfId="0" applyNumberFormat="1" applyFont="1" applyAlignment="1">
      <alignment vertical="center"/>
    </xf>
    <xf numFmtId="181" fontId="39" fillId="0" borderId="0" xfId="3" applyNumberFormat="1" applyFont="1" applyAlignment="1">
      <alignment vertical="center"/>
    </xf>
    <xf numFmtId="181" fontId="39" fillId="0" borderId="0" xfId="0" applyNumberFormat="1" applyFont="1" applyAlignment="1">
      <alignment vertical="center"/>
    </xf>
    <xf numFmtId="164" fontId="35" fillId="0" borderId="0" xfId="0" applyNumberFormat="1" applyFont="1" applyAlignment="1">
      <alignment vertical="center"/>
    </xf>
    <xf numFmtId="164" fontId="39" fillId="0" borderId="13" xfId="6" applyFont="1" applyBorder="1" applyAlignment="1">
      <alignment horizontal="center" vertical="center"/>
    </xf>
    <xf numFmtId="164" fontId="39" fillId="0" borderId="17" xfId="6" applyFont="1" applyBorder="1" applyAlignment="1">
      <alignment horizontal="center" vertical="center"/>
    </xf>
    <xf numFmtId="164" fontId="39" fillId="0" borderId="17" xfId="7" applyNumberFormat="1" applyFont="1" applyBorder="1" applyAlignment="1">
      <alignment vertical="center"/>
    </xf>
    <xf numFmtId="181" fontId="36" fillId="0" borderId="84" xfId="3" applyNumberFormat="1" applyFont="1" applyBorder="1" applyAlignment="1">
      <alignment horizontal="center" vertical="center"/>
    </xf>
    <xf numFmtId="181" fontId="36" fillId="0" borderId="92" xfId="3" applyNumberFormat="1" applyFont="1" applyBorder="1" applyAlignment="1">
      <alignment horizontal="center" vertical="center"/>
    </xf>
    <xf numFmtId="181" fontId="36" fillId="0" borderId="88" xfId="3" applyNumberFormat="1" applyFont="1" applyBorder="1" applyAlignment="1">
      <alignment horizontal="center" vertical="center"/>
    </xf>
    <xf numFmtId="181" fontId="36" fillId="0" borderId="80" xfId="3" applyNumberFormat="1" applyFont="1" applyBorder="1" applyAlignment="1">
      <alignment horizontal="center" vertical="center"/>
    </xf>
    <xf numFmtId="181" fontId="36" fillId="0" borderId="16" xfId="0" applyNumberFormat="1" applyFont="1" applyBorder="1" applyAlignment="1">
      <alignment horizontal="right" vertical="center"/>
    </xf>
    <xf numFmtId="181" fontId="36" fillId="0" borderId="15" xfId="0" applyNumberFormat="1" applyFont="1" applyBorder="1" applyAlignment="1">
      <alignment vertical="center"/>
    </xf>
    <xf numFmtId="181" fontId="36" fillId="0" borderId="96" xfId="3" applyNumberFormat="1" applyFont="1" applyBorder="1" applyAlignment="1">
      <alignment horizontal="right" vertical="center"/>
    </xf>
    <xf numFmtId="181" fontId="36" fillId="0" borderId="23" xfId="3" applyNumberFormat="1" applyFont="1" applyBorder="1" applyAlignment="1">
      <alignment horizontal="right" vertical="center"/>
    </xf>
    <xf numFmtId="181" fontId="36" fillId="0" borderId="16" xfId="3" applyNumberFormat="1" applyFont="1" applyBorder="1" applyAlignment="1">
      <alignment horizontal="right" vertical="center"/>
    </xf>
    <xf numFmtId="181" fontId="36" fillId="0" borderId="65" xfId="3" applyNumberFormat="1" applyFont="1" applyBorder="1" applyAlignment="1">
      <alignment horizontal="right" vertical="center"/>
    </xf>
    <xf numFmtId="181" fontId="36" fillId="0" borderId="27" xfId="3" applyNumberFormat="1" applyFont="1" applyBorder="1" applyAlignment="1">
      <alignment horizontal="right" vertical="center"/>
    </xf>
    <xf numFmtId="181" fontId="36" fillId="0" borderId="105" xfId="3" applyNumberFormat="1" applyFont="1" applyBorder="1" applyAlignment="1">
      <alignment horizontal="right" vertical="center"/>
    </xf>
    <xf numFmtId="181" fontId="36" fillId="0" borderId="25" xfId="3" applyNumberFormat="1" applyFont="1" applyBorder="1" applyAlignment="1">
      <alignment horizontal="right" vertical="center"/>
    </xf>
    <xf numFmtId="181" fontId="36" fillId="0" borderId="84" xfId="3" applyNumberFormat="1" applyFont="1" applyBorder="1" applyAlignment="1">
      <alignment horizontal="right" vertical="center"/>
    </xf>
    <xf numFmtId="181" fontId="36" fillId="0" borderId="92" xfId="3" applyNumberFormat="1" applyFont="1" applyBorder="1" applyAlignment="1">
      <alignment horizontal="right" vertical="center"/>
    </xf>
    <xf numFmtId="181" fontId="36" fillId="0" borderId="100" xfId="3" applyNumberFormat="1" applyFont="1" applyBorder="1" applyAlignment="1">
      <alignment horizontal="right" vertical="center"/>
    </xf>
    <xf numFmtId="181" fontId="36" fillId="0" borderId="0" xfId="0" applyNumberFormat="1" applyFont="1" applyAlignment="1">
      <alignment horizontal="right" vertical="center"/>
    </xf>
    <xf numFmtId="181" fontId="36" fillId="0" borderId="14" xfId="0" applyNumberFormat="1" applyFont="1" applyBorder="1" applyAlignment="1">
      <alignment horizontal="right" vertical="center"/>
    </xf>
    <xf numFmtId="181" fontId="39" fillId="0" borderId="15" xfId="0" applyNumberFormat="1" applyFont="1" applyBorder="1" applyAlignment="1">
      <alignment horizontal="right" vertical="center"/>
    </xf>
    <xf numFmtId="181" fontId="36" fillId="0" borderId="5" xfId="3" applyNumberFormat="1" applyFont="1" applyBorder="1" applyAlignment="1">
      <alignment horizontal="right" vertical="center"/>
    </xf>
    <xf numFmtId="181" fontId="36" fillId="0" borderId="7" xfId="3" applyNumberFormat="1" applyFont="1" applyBorder="1" applyAlignment="1">
      <alignment horizontal="right" vertical="center"/>
    </xf>
    <xf numFmtId="181" fontId="39" fillId="0" borderId="105" xfId="0" applyNumberFormat="1" applyFont="1" applyBorder="1" applyAlignment="1">
      <alignment horizontal="right" vertical="center"/>
    </xf>
    <xf numFmtId="181" fontId="36" fillId="0" borderId="75" xfId="3" applyNumberFormat="1" applyFont="1" applyBorder="1" applyAlignment="1">
      <alignment horizontal="right" vertical="center"/>
    </xf>
    <xf numFmtId="181" fontId="36" fillId="0" borderId="34" xfId="3" applyNumberFormat="1" applyFont="1" applyBorder="1" applyAlignment="1">
      <alignment horizontal="right" vertical="center"/>
    </xf>
    <xf numFmtId="181" fontId="36" fillId="0" borderId="107" xfId="3" applyNumberFormat="1" applyFont="1" applyBorder="1" applyAlignment="1">
      <alignment horizontal="right" vertical="center"/>
    </xf>
    <xf numFmtId="181" fontId="36" fillId="0" borderId="108" xfId="3" applyNumberFormat="1" applyFont="1" applyBorder="1" applyAlignment="1">
      <alignment horizontal="right" vertical="center"/>
    </xf>
    <xf numFmtId="181" fontId="36" fillId="0" borderId="109" xfId="3" applyNumberFormat="1" applyFont="1" applyBorder="1" applyAlignment="1">
      <alignment horizontal="right" vertical="center"/>
    </xf>
    <xf numFmtId="181" fontId="36" fillId="0" borderId="12" xfId="3" applyNumberFormat="1" applyFont="1" applyBorder="1" applyAlignment="1">
      <alignment horizontal="right" vertical="center"/>
    </xf>
    <xf numFmtId="181" fontId="39" fillId="0" borderId="17" xfId="7" applyNumberFormat="1" applyFont="1" applyBorder="1" applyAlignment="1">
      <alignment horizontal="right" vertical="center"/>
    </xf>
    <xf numFmtId="181" fontId="39" fillId="0" borderId="17" xfId="0" applyNumberFormat="1" applyFont="1" applyBorder="1" applyAlignment="1">
      <alignment horizontal="right" vertical="center"/>
    </xf>
    <xf numFmtId="181" fontId="36" fillId="0" borderId="102" xfId="6" applyNumberFormat="1" applyFont="1" applyBorder="1" applyAlignment="1">
      <alignment horizontal="right" vertical="center"/>
    </xf>
    <xf numFmtId="181" fontId="36" fillId="0" borderId="81" xfId="3" applyNumberFormat="1" applyFont="1" applyBorder="1" applyAlignment="1">
      <alignment horizontal="right" vertical="center"/>
    </xf>
    <xf numFmtId="181" fontId="39" fillId="0" borderId="97" xfId="7" applyNumberFormat="1" applyFont="1" applyBorder="1" applyAlignment="1">
      <alignment horizontal="right" vertical="center"/>
    </xf>
    <xf numFmtId="181" fontId="36" fillId="0" borderId="110" xfId="3" applyNumberFormat="1" applyFont="1" applyBorder="1" applyAlignment="1">
      <alignment horizontal="right" vertical="center"/>
    </xf>
    <xf numFmtId="164" fontId="38" fillId="0" borderId="13" xfId="6" applyFont="1" applyBorder="1" applyAlignment="1">
      <alignment vertical="center"/>
    </xf>
    <xf numFmtId="164" fontId="36" fillId="0" borderId="14" xfId="6" applyFont="1" applyBorder="1" applyAlignment="1">
      <alignment horizontal="center" vertical="center"/>
    </xf>
    <xf numFmtId="164" fontId="36" fillId="0" borderId="15" xfId="6" applyFont="1" applyBorder="1" applyAlignment="1">
      <alignment horizontal="center" vertical="center"/>
    </xf>
    <xf numFmtId="164" fontId="38" fillId="0" borderId="14" xfId="6" applyFont="1" applyBorder="1" applyAlignment="1">
      <alignment vertical="center"/>
    </xf>
    <xf numFmtId="0" fontId="17" fillId="0" borderId="0" xfId="1" applyFont="1" applyAlignment="1">
      <alignment horizontal="left" vertical="center"/>
    </xf>
    <xf numFmtId="9" fontId="24" fillId="3" borderId="1" xfId="2" applyFont="1" applyFill="1" applyBorder="1" applyAlignment="1">
      <alignment horizontal="center" vertical="center"/>
    </xf>
    <xf numFmtId="3" fontId="24" fillId="3" borderId="25" xfId="0" applyNumberFormat="1" applyFont="1" applyFill="1" applyBorder="1" applyAlignment="1">
      <alignment horizontal="center" vertical="center"/>
    </xf>
    <xf numFmtId="3" fontId="24" fillId="3" borderId="9" xfId="0" applyNumberFormat="1" applyFont="1" applyFill="1" applyBorder="1" applyAlignment="1">
      <alignment horizontal="center" vertical="center"/>
    </xf>
    <xf numFmtId="3" fontId="24" fillId="3" borderId="33" xfId="0" applyNumberFormat="1" applyFont="1" applyFill="1" applyBorder="1" applyAlignment="1">
      <alignment horizontal="center" vertical="center"/>
    </xf>
    <xf numFmtId="3" fontId="24" fillId="3" borderId="1" xfId="0" applyNumberFormat="1" applyFont="1" applyFill="1" applyBorder="1" applyAlignment="1">
      <alignment horizontal="center" vertical="center"/>
    </xf>
    <xf numFmtId="3" fontId="24" fillId="3" borderId="34" xfId="0" applyNumberFormat="1" applyFont="1" applyFill="1" applyBorder="1" applyAlignment="1">
      <alignment horizontal="center" vertical="center"/>
    </xf>
    <xf numFmtId="3" fontId="9" fillId="3" borderId="24" xfId="0" applyNumberFormat="1" applyFont="1" applyFill="1" applyBorder="1" applyAlignment="1">
      <alignment horizontal="center" vertical="center"/>
    </xf>
    <xf numFmtId="4" fontId="9" fillId="3" borderId="1" xfId="0" applyNumberFormat="1" applyFont="1" applyFill="1" applyBorder="1" applyAlignment="1">
      <alignment horizontal="center" vertical="center"/>
    </xf>
    <xf numFmtId="37" fontId="0" fillId="0" borderId="0" xfId="0" applyNumberFormat="1" applyAlignment="1">
      <alignment horizontal="center"/>
    </xf>
    <xf numFmtId="37" fontId="2" fillId="0" borderId="0" xfId="0" applyNumberFormat="1" applyFont="1" applyAlignment="1">
      <alignment horizontal="center" vertical="center"/>
    </xf>
    <xf numFmtId="3" fontId="9" fillId="3" borderId="1" xfId="0" applyNumberFormat="1" applyFont="1" applyFill="1" applyBorder="1" applyAlignment="1">
      <alignment horizontal="center" vertical="center"/>
    </xf>
    <xf numFmtId="4" fontId="9" fillId="3" borderId="5" xfId="0" applyNumberFormat="1" applyFont="1" applyFill="1" applyBorder="1" applyAlignment="1">
      <alignment horizontal="center" vertical="center"/>
    </xf>
    <xf numFmtId="4" fontId="18" fillId="3" borderId="9" xfId="0" applyNumberFormat="1" applyFont="1" applyFill="1" applyBorder="1" applyAlignment="1">
      <alignment horizontal="center" vertical="center"/>
    </xf>
    <xf numFmtId="4" fontId="18" fillId="3" borderId="1" xfId="0" applyNumberFormat="1" applyFont="1" applyFill="1" applyBorder="1" applyAlignment="1">
      <alignment horizontal="center" vertical="center"/>
    </xf>
    <xf numFmtId="164" fontId="18" fillId="0" borderId="0" xfId="3" applyFont="1" applyAlignment="1">
      <alignment horizontal="center" vertical="center"/>
    </xf>
    <xf numFmtId="0" fontId="17" fillId="0" borderId="0" xfId="1" applyFont="1" applyAlignment="1">
      <alignment horizontal="center" vertical="center" wrapText="1"/>
    </xf>
    <xf numFmtId="4" fontId="18" fillId="0" borderId="0" xfId="1" applyNumberFormat="1" applyFont="1" applyAlignment="1">
      <alignment horizontal="center" vertical="center"/>
    </xf>
    <xf numFmtId="164" fontId="19" fillId="0" borderId="0" xfId="3" applyFont="1" applyAlignment="1">
      <alignment vertical="center"/>
    </xf>
    <xf numFmtId="164" fontId="20" fillId="0" borderId="0" xfId="3" applyFont="1" applyAlignment="1">
      <alignment horizontal="center" vertical="center" wrapText="1"/>
    </xf>
    <xf numFmtId="164" fontId="20" fillId="0" borderId="0" xfId="3" applyFont="1" applyAlignment="1">
      <alignment horizontal="center" vertical="center"/>
    </xf>
    <xf numFmtId="183" fontId="20" fillId="0" borderId="0" xfId="3" applyNumberFormat="1" applyFont="1" applyAlignment="1">
      <alignment horizontal="center" vertical="center"/>
    </xf>
    <xf numFmtId="183" fontId="2" fillId="0" borderId="0" xfId="3" applyNumberFormat="1" applyAlignment="1">
      <alignment horizontal="center" vertical="center"/>
    </xf>
    <xf numFmtId="184" fontId="19" fillId="0" borderId="0" xfId="1" applyNumberFormat="1" applyFont="1" applyAlignment="1">
      <alignment vertical="center"/>
    </xf>
    <xf numFmtId="4" fontId="18" fillId="3" borderId="11" xfId="1" applyNumberFormat="1" applyFont="1" applyFill="1" applyBorder="1" applyAlignment="1">
      <alignment horizontal="center" vertical="center"/>
    </xf>
    <xf numFmtId="4" fontId="2" fillId="0" borderId="12" xfId="1" applyNumberFormat="1" applyBorder="1" applyAlignment="1">
      <alignment horizontal="center" vertical="center"/>
    </xf>
    <xf numFmtId="4" fontId="2" fillId="0" borderId="65" xfId="1" applyNumberFormat="1" applyBorder="1" applyAlignment="1">
      <alignment horizontal="center" vertical="center"/>
    </xf>
    <xf numFmtId="4" fontId="2" fillId="0" borderId="16" xfId="1" applyNumberFormat="1" applyBorder="1" applyAlignment="1">
      <alignment horizontal="center" vertical="center"/>
    </xf>
    <xf numFmtId="183" fontId="20" fillId="0" borderId="17" xfId="3" applyNumberFormat="1" applyFont="1" applyBorder="1" applyAlignment="1">
      <alignment horizontal="center" vertical="center"/>
    </xf>
    <xf numFmtId="10" fontId="31" fillId="3" borderId="0" xfId="2" applyNumberFormat="1" applyFont="1" applyFill="1" applyAlignment="1">
      <alignment vertical="center"/>
    </xf>
    <xf numFmtId="4" fontId="18" fillId="3" borderId="19" xfId="0" applyNumberFormat="1" applyFont="1" applyFill="1" applyBorder="1" applyAlignment="1">
      <alignment horizontal="center" vertical="center"/>
    </xf>
    <xf numFmtId="4" fontId="18" fillId="3" borderId="2" xfId="0" applyNumberFormat="1" applyFont="1" applyFill="1" applyBorder="1" applyAlignment="1">
      <alignment horizontal="center" vertical="center"/>
    </xf>
    <xf numFmtId="4" fontId="18" fillId="3" borderId="11" xfId="0" applyNumberFormat="1" applyFont="1" applyFill="1" applyBorder="1" applyAlignment="1">
      <alignment horizontal="center" vertical="center"/>
    </xf>
    <xf numFmtId="4" fontId="18" fillId="3" borderId="10" xfId="0" applyNumberFormat="1" applyFont="1" applyFill="1" applyBorder="1" applyAlignment="1">
      <alignment horizontal="center" vertical="center"/>
    </xf>
    <xf numFmtId="4" fontId="18" fillId="3" borderId="5" xfId="0" applyNumberFormat="1" applyFont="1" applyFill="1" applyBorder="1" applyAlignment="1">
      <alignment horizontal="center" vertical="center"/>
    </xf>
    <xf numFmtId="4" fontId="18" fillId="3" borderId="71" xfId="0" applyNumberFormat="1" applyFont="1" applyFill="1" applyBorder="1" applyAlignment="1">
      <alignment horizontal="center" vertical="center"/>
    </xf>
    <xf numFmtId="4" fontId="18" fillId="3" borderId="72" xfId="0" applyNumberFormat="1" applyFont="1" applyFill="1" applyBorder="1" applyAlignment="1">
      <alignment horizontal="center" vertical="center"/>
    </xf>
    <xf numFmtId="4" fontId="24" fillId="3" borderId="19" xfId="0" applyNumberFormat="1" applyFont="1" applyFill="1" applyBorder="1" applyAlignment="1">
      <alignment horizontal="center" vertical="center"/>
    </xf>
    <xf numFmtId="4" fontId="24" fillId="3" borderId="2" xfId="0" applyNumberFormat="1" applyFont="1" applyFill="1" applyBorder="1" applyAlignment="1">
      <alignment horizontal="center" vertical="center"/>
    </xf>
    <xf numFmtId="4" fontId="24" fillId="3" borderId="74" xfId="0" applyNumberFormat="1" applyFont="1" applyFill="1" applyBorder="1" applyAlignment="1">
      <alignment horizontal="center" vertical="center"/>
    </xf>
    <xf numFmtId="3" fontId="5" fillId="3" borderId="0" xfId="0" applyNumberFormat="1" applyFont="1" applyFill="1" applyAlignment="1">
      <alignment vertical="center"/>
    </xf>
    <xf numFmtId="164" fontId="36" fillId="0" borderId="0" xfId="6" applyFont="1" applyAlignment="1">
      <alignment horizontal="center" vertical="center"/>
    </xf>
    <xf numFmtId="44" fontId="5" fillId="0" borderId="0" xfId="0" applyNumberFormat="1" applyFont="1" applyAlignment="1">
      <alignment vertical="center"/>
    </xf>
    <xf numFmtId="4" fontId="24" fillId="3" borderId="33" xfId="0" applyNumberFormat="1" applyFont="1" applyFill="1" applyBorder="1" applyAlignment="1">
      <alignment horizontal="center" vertical="center"/>
    </xf>
    <xf numFmtId="4" fontId="18" fillId="3" borderId="24" xfId="0" applyNumberFormat="1" applyFont="1" applyFill="1" applyBorder="1" applyAlignment="1">
      <alignment horizontal="center" vertical="center"/>
    </xf>
    <xf numFmtId="4" fontId="18" fillId="3" borderId="1" xfId="0" applyNumberFormat="1" applyFont="1" applyFill="1" applyBorder="1" applyAlignment="1">
      <alignment vertical="center"/>
    </xf>
    <xf numFmtId="4" fontId="17" fillId="3" borderId="1" xfId="0" applyNumberFormat="1" applyFont="1" applyFill="1" applyBorder="1" applyAlignment="1">
      <alignment vertical="center"/>
    </xf>
    <xf numFmtId="184" fontId="31" fillId="0" borderId="0" xfId="0" applyNumberFormat="1" applyFont="1" applyAlignment="1">
      <alignment vertical="center"/>
    </xf>
    <xf numFmtId="183" fontId="31" fillId="0" borderId="0" xfId="3" applyNumberFormat="1" applyFont="1" applyAlignment="1">
      <alignment vertical="center"/>
    </xf>
    <xf numFmtId="183" fontId="31" fillId="0" borderId="0" xfId="3" applyNumberFormat="1" applyFont="1" applyAlignment="1">
      <alignment horizontal="center" vertical="center"/>
    </xf>
    <xf numFmtId="0" fontId="17" fillId="0" borderId="0" xfId="0" applyFont="1" applyAlignment="1">
      <alignment horizontal="right" vertical="center" indent="1"/>
    </xf>
    <xf numFmtId="10" fontId="17" fillId="9" borderId="17" xfId="2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right" vertical="center"/>
    </xf>
    <xf numFmtId="9" fontId="17" fillId="0" borderId="0" xfId="2" applyFont="1" applyAlignment="1">
      <alignment horizontal="center" vertical="center"/>
    </xf>
    <xf numFmtId="10" fontId="42" fillId="0" borderId="0" xfId="2" applyNumberFormat="1" applyFont="1" applyAlignment="1">
      <alignment horizontal="center" vertical="center"/>
    </xf>
    <xf numFmtId="169" fontId="30" fillId="3" borderId="0" xfId="0" applyNumberFormat="1" applyFont="1" applyFill="1" applyAlignment="1">
      <alignment horizontal="center" vertical="center"/>
    </xf>
    <xf numFmtId="184" fontId="31" fillId="4" borderId="3" xfId="0" applyNumberFormat="1" applyFont="1" applyFill="1" applyBorder="1" applyAlignment="1">
      <alignment vertical="center"/>
    </xf>
    <xf numFmtId="184" fontId="31" fillId="4" borderId="55" xfId="0" applyNumberFormat="1" applyFont="1" applyFill="1" applyBorder="1" applyAlignment="1">
      <alignment vertical="center"/>
    </xf>
    <xf numFmtId="0" fontId="20" fillId="0" borderId="0" xfId="0" applyFont="1" applyAlignment="1">
      <alignment horizontal="center" vertical="center" wrapText="1"/>
    </xf>
    <xf numFmtId="3" fontId="24" fillId="0" borderId="0" xfId="0" applyNumberFormat="1" applyFont="1" applyAlignment="1">
      <alignment horizontal="center" vertical="center"/>
    </xf>
    <xf numFmtId="2" fontId="0" fillId="0" borderId="136" xfId="0" applyNumberFormat="1" applyBorder="1" applyAlignment="1" applyProtection="1">
      <alignment horizontal="center" vertical="center"/>
      <protection hidden="1"/>
    </xf>
    <xf numFmtId="9" fontId="0" fillId="0" borderId="137" xfId="2" applyFont="1" applyBorder="1" applyAlignment="1" applyProtection="1">
      <alignment horizontal="center" vertical="center"/>
      <protection hidden="1"/>
    </xf>
    <xf numFmtId="2" fontId="0" fillId="0" borderId="52" xfId="0" applyNumberFormat="1" applyBorder="1" applyAlignment="1" applyProtection="1">
      <alignment horizontal="center" vertical="center"/>
      <protection hidden="1"/>
    </xf>
    <xf numFmtId="9" fontId="0" fillId="0" borderId="138" xfId="2" applyFont="1" applyBorder="1" applyAlignment="1" applyProtection="1">
      <alignment horizontal="center" vertical="center"/>
      <protection hidden="1"/>
    </xf>
    <xf numFmtId="2" fontId="18" fillId="0" borderId="50" xfId="0" applyNumberFormat="1" applyFont="1" applyBorder="1" applyAlignment="1">
      <alignment horizontal="center" vertical="center"/>
    </xf>
    <xf numFmtId="9" fontId="0" fillId="0" borderId="53" xfId="2" applyFont="1" applyBorder="1" applyAlignment="1" applyProtection="1">
      <alignment horizontal="center" vertical="center"/>
      <protection hidden="1"/>
    </xf>
    <xf numFmtId="2" fontId="0" fillId="0" borderId="53" xfId="0" applyNumberFormat="1" applyBorder="1" applyAlignment="1" applyProtection="1">
      <alignment horizontal="center" vertical="center"/>
      <protection hidden="1"/>
    </xf>
    <xf numFmtId="164" fontId="18" fillId="0" borderId="2" xfId="3" applyFont="1" applyBorder="1" applyAlignment="1">
      <alignment horizontal="center" vertical="center"/>
    </xf>
    <xf numFmtId="164" fontId="18" fillId="0" borderId="11" xfId="3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 applyAlignment="1" applyProtection="1">
      <alignment horizontal="center" vertical="center"/>
      <protection hidden="1"/>
    </xf>
    <xf numFmtId="168" fontId="0" fillId="0" borderId="0" xfId="3" applyNumberFormat="1" applyFont="1" applyAlignment="1">
      <alignment horizontal="center" vertical="center"/>
    </xf>
    <xf numFmtId="0" fontId="2" fillId="0" borderId="19" xfId="0" applyFont="1" applyBorder="1" applyAlignment="1">
      <alignment horizontal="center"/>
    </xf>
    <xf numFmtId="164" fontId="18" fillId="0" borderId="1" xfId="3" applyFont="1" applyBorder="1" applyAlignment="1">
      <alignment horizontal="center" vertical="center"/>
    </xf>
    <xf numFmtId="164" fontId="18" fillId="0" borderId="19" xfId="3" applyFont="1" applyBorder="1" applyAlignment="1">
      <alignment horizontal="center" vertical="center"/>
    </xf>
    <xf numFmtId="164" fontId="18" fillId="0" borderId="24" xfId="3" applyFont="1" applyBorder="1" applyAlignment="1">
      <alignment horizontal="center" vertical="center"/>
    </xf>
    <xf numFmtId="164" fontId="18" fillId="0" borderId="5" xfId="3" applyFont="1" applyBorder="1" applyAlignment="1">
      <alignment horizontal="center" vertical="center"/>
    </xf>
    <xf numFmtId="164" fontId="8" fillId="0" borderId="0" xfId="3" applyFont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64" fontId="8" fillId="3" borderId="0" xfId="3" applyFont="1" applyFill="1" applyAlignment="1">
      <alignment vertical="center"/>
    </xf>
    <xf numFmtId="164" fontId="24" fillId="0" borderId="33" xfId="3" applyFont="1" applyBorder="1" applyAlignment="1">
      <alignment horizontal="center" vertical="center"/>
    </xf>
    <xf numFmtId="164" fontId="49" fillId="0" borderId="139" xfId="3" applyFont="1" applyBorder="1" applyAlignment="1">
      <alignment vertical="center"/>
    </xf>
    <xf numFmtId="164" fontId="49" fillId="0" borderId="72" xfId="3" applyFont="1" applyBorder="1" applyAlignment="1">
      <alignment vertical="center"/>
    </xf>
    <xf numFmtId="164" fontId="49" fillId="0" borderId="140" xfId="3" applyFont="1" applyBorder="1" applyAlignment="1">
      <alignment vertical="center"/>
    </xf>
    <xf numFmtId="0" fontId="50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49" fillId="0" borderId="0" xfId="0" applyFont="1" applyAlignment="1">
      <alignment vertical="center"/>
    </xf>
    <xf numFmtId="172" fontId="49" fillId="0" borderId="0" xfId="0" applyNumberFormat="1" applyFont="1" applyAlignment="1">
      <alignment vertical="center"/>
    </xf>
    <xf numFmtId="0" fontId="43" fillId="0" borderId="0" xfId="0" applyFont="1" applyAlignment="1">
      <alignment vertical="center"/>
    </xf>
    <xf numFmtId="172" fontId="53" fillId="0" borderId="0" xfId="0" applyNumberFormat="1" applyFont="1" applyAlignment="1">
      <alignment vertical="center"/>
    </xf>
    <xf numFmtId="172" fontId="53" fillId="0" borderId="17" xfId="0" applyNumberFormat="1" applyFont="1" applyBorder="1" applyAlignment="1">
      <alignment horizontal="center" vertical="center"/>
    </xf>
    <xf numFmtId="172" fontId="53" fillId="0" borderId="12" xfId="0" applyNumberFormat="1" applyFont="1" applyBorder="1" applyAlignment="1">
      <alignment horizontal="center" vertical="center"/>
    </xf>
    <xf numFmtId="164" fontId="53" fillId="0" borderId="13" xfId="6" applyFont="1" applyBorder="1" applyAlignment="1">
      <alignment horizontal="center" vertical="center"/>
    </xf>
    <xf numFmtId="164" fontId="53" fillId="0" borderId="17" xfId="6" applyFont="1" applyBorder="1" applyAlignment="1">
      <alignment horizontal="center" vertical="center"/>
    </xf>
    <xf numFmtId="1" fontId="53" fillId="0" borderId="13" xfId="0" applyNumberFormat="1" applyFont="1" applyBorder="1" applyAlignment="1">
      <alignment horizontal="left" vertical="center"/>
    </xf>
    <xf numFmtId="164" fontId="53" fillId="0" borderId="17" xfId="3" applyFont="1" applyBorder="1" applyAlignment="1">
      <alignment vertical="center"/>
    </xf>
    <xf numFmtId="174" fontId="53" fillId="0" borderId="0" xfId="7" applyNumberFormat="1" applyFont="1" applyAlignment="1">
      <alignment vertical="center"/>
    </xf>
    <xf numFmtId="37" fontId="53" fillId="0" borderId="12" xfId="0" applyNumberFormat="1" applyFont="1" applyBorder="1" applyAlignment="1">
      <alignment vertical="center"/>
    </xf>
    <xf numFmtId="172" fontId="53" fillId="0" borderId="69" xfId="0" applyNumberFormat="1" applyFont="1" applyBorder="1" applyAlignment="1">
      <alignment vertical="center"/>
    </xf>
    <xf numFmtId="172" fontId="53" fillId="0" borderId="38" xfId="0" applyNumberFormat="1" applyFont="1" applyBorder="1" applyAlignment="1">
      <alignment vertical="center"/>
    </xf>
    <xf numFmtId="172" fontId="53" fillId="0" borderId="75" xfId="0" applyNumberFormat="1" applyFont="1" applyBorder="1" applyAlignment="1">
      <alignment vertical="center"/>
    </xf>
    <xf numFmtId="164" fontId="53" fillId="0" borderId="12" xfId="3" applyFont="1" applyBorder="1" applyAlignment="1">
      <alignment vertical="center"/>
    </xf>
    <xf numFmtId="174" fontId="53" fillId="0" borderId="0" xfId="0" applyNumberFormat="1" applyFont="1" applyAlignment="1">
      <alignment vertical="center"/>
    </xf>
    <xf numFmtId="4" fontId="49" fillId="0" borderId="139" xfId="8" applyNumberFormat="1" applyFont="1" applyBorder="1" applyAlignment="1">
      <alignment vertical="center" wrapText="1"/>
    </xf>
    <xf numFmtId="168" fontId="49" fillId="0" borderId="72" xfId="6" applyNumberFormat="1" applyFont="1" applyBorder="1" applyAlignment="1">
      <alignment vertical="center"/>
    </xf>
    <xf numFmtId="175" fontId="49" fillId="0" borderId="0" xfId="3" applyNumberFormat="1" applyFont="1" applyAlignment="1">
      <alignment vertical="center"/>
    </xf>
    <xf numFmtId="168" fontId="49" fillId="0" borderId="73" xfId="6" applyNumberFormat="1" applyFont="1" applyBorder="1" applyAlignment="1">
      <alignment vertical="center"/>
    </xf>
    <xf numFmtId="164" fontId="49" fillId="0" borderId="73" xfId="3" applyFont="1" applyBorder="1" applyAlignment="1">
      <alignment vertical="center"/>
    </xf>
    <xf numFmtId="164" fontId="49" fillId="0" borderId="146" xfId="3" applyFont="1" applyBorder="1" applyAlignment="1">
      <alignment vertical="center"/>
    </xf>
    <xf numFmtId="164" fontId="49" fillId="0" borderId="147" xfId="3" applyFont="1" applyBorder="1" applyAlignment="1">
      <alignment vertical="center"/>
    </xf>
    <xf numFmtId="164" fontId="49" fillId="0" borderId="148" xfId="3" applyFont="1" applyBorder="1" applyAlignment="1">
      <alignment vertical="center"/>
    </xf>
    <xf numFmtId="164" fontId="49" fillId="0" borderId="149" xfId="3" applyFont="1" applyBorder="1" applyAlignment="1">
      <alignment vertical="center"/>
    </xf>
    <xf numFmtId="164" fontId="49" fillId="0" borderId="0" xfId="3" applyFont="1" applyAlignment="1">
      <alignment vertical="center"/>
    </xf>
    <xf numFmtId="164" fontId="49" fillId="0" borderId="14" xfId="3" applyFont="1" applyBorder="1" applyAlignment="1">
      <alignment vertical="center"/>
    </xf>
    <xf numFmtId="164" fontId="53" fillId="0" borderId="94" xfId="3" applyFont="1" applyBorder="1" applyAlignment="1">
      <alignment vertical="center"/>
    </xf>
    <xf numFmtId="172" fontId="49" fillId="0" borderId="142" xfId="0" applyNumberFormat="1" applyFont="1" applyBorder="1" applyAlignment="1">
      <alignment vertical="center" wrapText="1"/>
    </xf>
    <xf numFmtId="168" fontId="49" fillId="0" borderId="71" xfId="6" applyNumberFormat="1" applyFont="1" applyBorder="1" applyAlignment="1">
      <alignment vertical="center"/>
    </xf>
    <xf numFmtId="164" fontId="49" fillId="0" borderId="71" xfId="3" applyFont="1" applyBorder="1" applyAlignment="1">
      <alignment vertical="center"/>
    </xf>
    <xf numFmtId="164" fontId="49" fillId="0" borderId="143" xfId="3" applyFont="1" applyBorder="1" applyAlignment="1">
      <alignment vertical="center"/>
    </xf>
    <xf numFmtId="164" fontId="49" fillId="0" borderId="142" xfId="3" applyFont="1" applyBorder="1" applyAlignment="1">
      <alignment vertical="center"/>
    </xf>
    <xf numFmtId="172" fontId="49" fillId="0" borderId="145" xfId="0" applyNumberFormat="1" applyFont="1" applyBorder="1" applyAlignment="1">
      <alignment vertical="center" wrapText="1"/>
    </xf>
    <xf numFmtId="172" fontId="49" fillId="0" borderId="0" xfId="0" applyNumberFormat="1" applyFont="1" applyAlignment="1">
      <alignment vertical="center" wrapText="1"/>
    </xf>
    <xf numFmtId="168" fontId="49" fillId="0" borderId="0" xfId="6" applyNumberFormat="1" applyFont="1" applyAlignment="1">
      <alignment vertical="center"/>
    </xf>
    <xf numFmtId="164" fontId="53" fillId="0" borderId="14" xfId="3" applyFont="1" applyBorder="1" applyAlignment="1">
      <alignment vertical="center"/>
    </xf>
    <xf numFmtId="172" fontId="49" fillId="0" borderId="139" xfId="0" applyNumberFormat="1" applyFont="1" applyBorder="1" applyAlignment="1">
      <alignment vertical="center" wrapText="1"/>
    </xf>
    <xf numFmtId="164" fontId="49" fillId="0" borderId="145" xfId="3" applyFont="1" applyBorder="1" applyAlignment="1">
      <alignment vertical="center"/>
    </xf>
    <xf numFmtId="168" fontId="49" fillId="0" borderId="0" xfId="0" applyNumberFormat="1" applyFont="1" applyAlignment="1">
      <alignment vertical="center"/>
    </xf>
    <xf numFmtId="1" fontId="53" fillId="0" borderId="17" xfId="0" applyNumberFormat="1" applyFont="1" applyBorder="1" applyAlignment="1">
      <alignment horizontal="left" vertical="center"/>
    </xf>
    <xf numFmtId="172" fontId="53" fillId="0" borderId="13" xfId="0" applyNumberFormat="1" applyFont="1" applyBorder="1" applyAlignment="1">
      <alignment vertical="center"/>
    </xf>
    <xf numFmtId="172" fontId="53" fillId="0" borderId="14" xfId="0" applyNumberFormat="1" applyFont="1" applyBorder="1" applyAlignment="1">
      <alignment vertical="center"/>
    </xf>
    <xf numFmtId="164" fontId="53" fillId="0" borderId="15" xfId="3" applyFont="1" applyBorder="1" applyAlignment="1">
      <alignment vertical="center"/>
    </xf>
    <xf numFmtId="37" fontId="53" fillId="0" borderId="13" xfId="0" applyNumberFormat="1" applyFont="1" applyBorder="1" applyAlignment="1">
      <alignment vertical="center"/>
    </xf>
    <xf numFmtId="172" fontId="49" fillId="0" borderId="139" xfId="0" applyNumberFormat="1" applyFont="1" applyBorder="1" applyAlignment="1">
      <alignment vertical="center"/>
    </xf>
    <xf numFmtId="37" fontId="53" fillId="0" borderId="69" xfId="0" applyNumberFormat="1" applyFont="1" applyBorder="1" applyAlignment="1">
      <alignment vertical="center"/>
    </xf>
    <xf numFmtId="172" fontId="53" fillId="0" borderId="104" xfId="0" applyNumberFormat="1" applyFont="1" applyBorder="1" applyAlignment="1">
      <alignment vertical="center"/>
    </xf>
    <xf numFmtId="164" fontId="53" fillId="0" borderId="57" xfId="3" applyFont="1" applyBorder="1" applyAlignment="1">
      <alignment vertical="center"/>
    </xf>
    <xf numFmtId="164" fontId="53" fillId="0" borderId="105" xfId="3" applyFont="1" applyBorder="1" applyAlignment="1">
      <alignment vertical="center"/>
    </xf>
    <xf numFmtId="175" fontId="49" fillId="0" borderId="131" xfId="3" applyNumberFormat="1" applyFont="1" applyBorder="1" applyAlignment="1">
      <alignment vertical="center"/>
    </xf>
    <xf numFmtId="164" fontId="43" fillId="0" borderId="0" xfId="0" applyNumberFormat="1" applyFont="1" applyAlignment="1">
      <alignment vertical="center"/>
    </xf>
    <xf numFmtId="164" fontId="49" fillId="0" borderId="72" xfId="3" quotePrefix="1" applyFont="1" applyBorder="1" applyAlignment="1">
      <alignment vertical="center"/>
    </xf>
    <xf numFmtId="37" fontId="53" fillId="0" borderId="17" xfId="0" applyNumberFormat="1" applyFont="1" applyBorder="1" applyAlignment="1">
      <alignment vertical="center"/>
    </xf>
    <xf numFmtId="164" fontId="53" fillId="0" borderId="16" xfId="3" applyFont="1" applyBorder="1" applyAlignment="1">
      <alignment vertical="center"/>
    </xf>
    <xf numFmtId="172" fontId="49" fillId="0" borderId="14" xfId="0" applyNumberFormat="1" applyFont="1" applyBorder="1" applyAlignment="1">
      <alignment vertical="center"/>
    </xf>
    <xf numFmtId="164" fontId="49" fillId="0" borderId="15" xfId="3" applyFont="1" applyBorder="1" applyAlignment="1">
      <alignment vertical="center"/>
    </xf>
    <xf numFmtId="0" fontId="43" fillId="0" borderId="0" xfId="0" applyFont="1"/>
    <xf numFmtId="172" fontId="53" fillId="0" borderId="106" xfId="0" applyNumberFormat="1" applyFont="1" applyBorder="1" applyAlignment="1">
      <alignment vertical="center"/>
    </xf>
    <xf numFmtId="172" fontId="49" fillId="0" borderId="141" xfId="0" applyNumberFormat="1" applyFont="1" applyBorder="1" applyAlignment="1">
      <alignment horizontal="center" vertical="center"/>
    </xf>
    <xf numFmtId="172" fontId="49" fillId="0" borderId="144" xfId="0" applyNumberFormat="1" applyFont="1" applyBorder="1" applyAlignment="1">
      <alignment horizontal="center" vertical="center"/>
    </xf>
    <xf numFmtId="172" fontId="49" fillId="0" borderId="144" xfId="0" applyNumberFormat="1" applyFont="1" applyBorder="1" applyAlignment="1">
      <alignment vertical="center"/>
    </xf>
    <xf numFmtId="4" fontId="49" fillId="9" borderId="139" xfId="8" applyNumberFormat="1" applyFont="1" applyFill="1" applyBorder="1" applyAlignment="1">
      <alignment vertical="center" wrapText="1"/>
    </xf>
    <xf numFmtId="168" fontId="49" fillId="9" borderId="72" xfId="6" applyNumberFormat="1" applyFont="1" applyFill="1" applyBorder="1" applyAlignment="1">
      <alignment vertical="center"/>
    </xf>
    <xf numFmtId="164" fontId="49" fillId="9" borderId="72" xfId="3" applyFont="1" applyFill="1" applyBorder="1" applyAlignment="1">
      <alignment vertical="center"/>
    </xf>
    <xf numFmtId="164" fontId="49" fillId="9" borderId="140" xfId="3" applyFont="1" applyFill="1" applyBorder="1" applyAlignment="1">
      <alignment vertical="center"/>
    </xf>
    <xf numFmtId="164" fontId="49" fillId="9" borderId="139" xfId="3" applyFont="1" applyFill="1" applyBorder="1" applyAlignment="1">
      <alignment vertical="center"/>
    </xf>
    <xf numFmtId="172" fontId="49" fillId="0" borderId="79" xfId="0" applyNumberFormat="1" applyFont="1" applyBorder="1" applyAlignment="1">
      <alignment vertical="center"/>
    </xf>
    <xf numFmtId="172" fontId="49" fillId="9" borderId="139" xfId="0" applyNumberFormat="1" applyFont="1" applyFill="1" applyBorder="1" applyAlignment="1">
      <alignment vertical="center"/>
    </xf>
    <xf numFmtId="164" fontId="49" fillId="9" borderId="139" xfId="3" applyFont="1" applyFill="1" applyBorder="1" applyAlignment="1">
      <alignment horizontal="center" vertical="center"/>
    </xf>
    <xf numFmtId="164" fontId="49" fillId="9" borderId="72" xfId="3" applyFont="1" applyFill="1" applyBorder="1" applyAlignment="1">
      <alignment horizontal="center" vertical="center"/>
    </xf>
    <xf numFmtId="164" fontId="49" fillId="9" borderId="140" xfId="3" applyFont="1" applyFill="1" applyBorder="1" applyAlignment="1">
      <alignment horizontal="center" vertical="center"/>
    </xf>
    <xf numFmtId="172" fontId="49" fillId="0" borderId="65" xfId="0" applyNumberFormat="1" applyFont="1" applyBorder="1" applyAlignment="1">
      <alignment vertical="center"/>
    </xf>
    <xf numFmtId="172" fontId="49" fillId="9" borderId="139" xfId="0" applyNumberFormat="1" applyFont="1" applyFill="1" applyBorder="1" applyAlignment="1">
      <alignment vertical="center" wrapText="1"/>
    </xf>
    <xf numFmtId="172" fontId="49" fillId="0" borderId="106" xfId="0" applyNumberFormat="1" applyFont="1" applyBorder="1" applyAlignment="1">
      <alignment horizontal="center" vertical="center"/>
    </xf>
    <xf numFmtId="4" fontId="49" fillId="0" borderId="147" xfId="8" applyNumberFormat="1" applyFont="1" applyBorder="1" applyAlignment="1">
      <alignment vertical="center" wrapText="1"/>
    </xf>
    <xf numFmtId="168" fontId="49" fillId="0" borderId="148" xfId="6" applyNumberFormat="1" applyFont="1" applyBorder="1" applyAlignment="1">
      <alignment vertical="center"/>
    </xf>
    <xf numFmtId="172" fontId="49" fillId="0" borderId="38" xfId="0" applyNumberFormat="1" applyFont="1" applyBorder="1" applyAlignment="1">
      <alignment horizontal="center" vertical="center"/>
    </xf>
    <xf numFmtId="4" fontId="49" fillId="0" borderId="38" xfId="8" applyNumberFormat="1" applyFont="1" applyBorder="1" applyAlignment="1">
      <alignment vertical="center" wrapText="1"/>
    </xf>
    <xf numFmtId="168" fontId="49" fillId="0" borderId="38" xfId="6" applyNumberFormat="1" applyFont="1" applyBorder="1" applyAlignment="1">
      <alignment vertical="center"/>
    </xf>
    <xf numFmtId="164" fontId="49" fillId="0" borderId="38" xfId="3" applyFont="1" applyBorder="1" applyAlignment="1">
      <alignment vertical="center"/>
    </xf>
    <xf numFmtId="175" fontId="49" fillId="0" borderId="38" xfId="3" applyNumberFormat="1" applyFont="1" applyBorder="1" applyAlignment="1">
      <alignment vertical="center"/>
    </xf>
    <xf numFmtId="172" fontId="53" fillId="0" borderId="17" xfId="0" applyNumberFormat="1" applyFont="1" applyBorder="1" applyAlignment="1">
      <alignment vertical="center"/>
    </xf>
    <xf numFmtId="37" fontId="53" fillId="0" borderId="67" xfId="0" applyNumberFormat="1" applyFont="1" applyBorder="1" applyAlignment="1">
      <alignment vertical="center"/>
    </xf>
    <xf numFmtId="172" fontId="53" fillId="0" borderId="94" xfId="0" applyNumberFormat="1" applyFont="1" applyBorder="1" applyAlignment="1">
      <alignment vertical="center"/>
    </xf>
    <xf numFmtId="164" fontId="53" fillId="0" borderId="95" xfId="3" applyFont="1" applyBorder="1" applyAlignment="1">
      <alignment vertical="center"/>
    </xf>
    <xf numFmtId="164" fontId="53" fillId="0" borderId="67" xfId="3" applyFont="1" applyBorder="1" applyAlignment="1">
      <alignment vertical="center"/>
    </xf>
    <xf numFmtId="172" fontId="49" fillId="0" borderId="16" xfId="0" applyNumberFormat="1" applyFont="1" applyBorder="1" applyAlignment="1">
      <alignment vertical="center"/>
    </xf>
    <xf numFmtId="172" fontId="49" fillId="0" borderId="145" xfId="0" applyNumberFormat="1" applyFont="1" applyBorder="1" applyAlignment="1">
      <alignment vertical="center"/>
    </xf>
    <xf numFmtId="172" fontId="53" fillId="0" borderId="93" xfId="0" applyNumberFormat="1" applyFont="1" applyBorder="1" applyAlignment="1">
      <alignment vertical="center"/>
    </xf>
    <xf numFmtId="164" fontId="53" fillId="0" borderId="68" xfId="3" applyFont="1" applyBorder="1" applyAlignment="1">
      <alignment vertical="center"/>
    </xf>
    <xf numFmtId="174" fontId="53" fillId="0" borderId="38" xfId="0" applyNumberFormat="1" applyFont="1" applyBorder="1" applyAlignment="1">
      <alignment vertical="center"/>
    </xf>
    <xf numFmtId="172" fontId="49" fillId="0" borderId="78" xfId="0" applyNumberFormat="1" applyFont="1" applyBorder="1" applyAlignment="1">
      <alignment vertical="center"/>
    </xf>
    <xf numFmtId="172" fontId="49" fillId="0" borderId="150" xfId="0" applyNumberFormat="1" applyFont="1" applyBorder="1" applyAlignment="1">
      <alignment vertical="center"/>
    </xf>
    <xf numFmtId="172" fontId="49" fillId="9" borderId="58" xfId="0" applyNumberFormat="1" applyFont="1" applyFill="1" applyBorder="1" applyAlignment="1">
      <alignment vertical="center" wrapText="1"/>
    </xf>
    <xf numFmtId="168" fontId="49" fillId="9" borderId="59" xfId="6" applyNumberFormat="1" applyFont="1" applyFill="1" applyBorder="1" applyAlignment="1">
      <alignment vertical="center"/>
    </xf>
    <xf numFmtId="164" fontId="49" fillId="9" borderId="59" xfId="3" applyFont="1" applyFill="1" applyBorder="1" applyAlignment="1">
      <alignment vertical="center"/>
    </xf>
    <xf numFmtId="164" fontId="49" fillId="9" borderId="85" xfId="3" applyFont="1" applyFill="1" applyBorder="1" applyAlignment="1">
      <alignment vertical="center"/>
    </xf>
    <xf numFmtId="175" fontId="49" fillId="9" borderId="0" xfId="3" applyNumberFormat="1" applyFont="1" applyFill="1" applyAlignment="1">
      <alignment vertical="center"/>
    </xf>
    <xf numFmtId="164" fontId="49" fillId="9" borderId="58" xfId="3" applyFont="1" applyFill="1" applyBorder="1" applyAlignment="1">
      <alignment vertical="center"/>
    </xf>
    <xf numFmtId="37" fontId="53" fillId="0" borderId="93" xfId="0" applyNumberFormat="1" applyFont="1" applyBorder="1" applyAlignment="1">
      <alignment vertical="center"/>
    </xf>
    <xf numFmtId="172" fontId="53" fillId="0" borderId="68" xfId="0" applyNumberFormat="1" applyFont="1" applyBorder="1" applyAlignment="1">
      <alignment vertical="center"/>
    </xf>
    <xf numFmtId="172" fontId="49" fillId="9" borderId="151" xfId="0" applyNumberFormat="1" applyFont="1" applyFill="1" applyBorder="1" applyAlignment="1">
      <alignment vertical="center" wrapText="1"/>
    </xf>
    <xf numFmtId="168" fontId="49" fillId="9" borderId="152" xfId="6" applyNumberFormat="1" applyFont="1" applyFill="1" applyBorder="1" applyAlignment="1">
      <alignment vertical="center"/>
    </xf>
    <xf numFmtId="164" fontId="49" fillId="9" borderId="152" xfId="3" applyFont="1" applyFill="1" applyBorder="1" applyAlignment="1">
      <alignment vertical="center"/>
    </xf>
    <xf numFmtId="164" fontId="49" fillId="9" borderId="153" xfId="3" applyFont="1" applyFill="1" applyBorder="1" applyAlignment="1">
      <alignment vertical="center"/>
    </xf>
    <xf numFmtId="164" fontId="49" fillId="9" borderId="151" xfId="3" applyFont="1" applyFill="1" applyBorder="1" applyAlignment="1">
      <alignment vertical="center"/>
    </xf>
    <xf numFmtId="172" fontId="53" fillId="0" borderId="103" xfId="0" applyNumberFormat="1" applyFont="1" applyBorder="1" applyAlignment="1">
      <alignment vertical="center"/>
    </xf>
    <xf numFmtId="174" fontId="53" fillId="0" borderId="65" xfId="0" applyNumberFormat="1" applyFont="1" applyBorder="1" applyAlignment="1">
      <alignment vertical="center"/>
    </xf>
    <xf numFmtId="164" fontId="49" fillId="0" borderId="154" xfId="3" applyFont="1" applyBorder="1" applyAlignment="1">
      <alignment vertical="center"/>
    </xf>
    <xf numFmtId="174" fontId="49" fillId="0" borderId="0" xfId="0" applyNumberFormat="1" applyFont="1" applyAlignment="1">
      <alignment vertical="center"/>
    </xf>
    <xf numFmtId="164" fontId="49" fillId="0" borderId="39" xfId="3" applyFont="1" applyBorder="1" applyAlignment="1">
      <alignment vertical="center"/>
    </xf>
    <xf numFmtId="1" fontId="53" fillId="0" borderId="13" xfId="0" applyNumberFormat="1" applyFont="1" applyBorder="1" applyAlignment="1">
      <alignment vertical="center"/>
    </xf>
    <xf numFmtId="164" fontId="53" fillId="0" borderId="75" xfId="3" applyFont="1" applyBorder="1" applyAlignment="1">
      <alignment horizontal="right" vertical="center"/>
    </xf>
    <xf numFmtId="43" fontId="43" fillId="0" borderId="0" xfId="3" applyNumberFormat="1" applyFont="1"/>
    <xf numFmtId="164" fontId="0" fillId="0" borderId="72" xfId="3" applyFont="1" applyBorder="1" applyAlignment="1">
      <alignment horizontal="center" vertical="center"/>
    </xf>
    <xf numFmtId="37" fontId="0" fillId="0" borderId="154" xfId="0" applyNumberFormat="1" applyBorder="1" applyAlignment="1">
      <alignment horizontal="center" vertical="center"/>
    </xf>
    <xf numFmtId="3" fontId="2" fillId="3" borderId="72" xfId="0" applyNumberFormat="1" applyFont="1" applyFill="1" applyBorder="1" applyAlignment="1">
      <alignment vertical="center"/>
    </xf>
    <xf numFmtId="37" fontId="0" fillId="0" borderId="157" xfId="0" applyNumberFormat="1" applyBorder="1" applyAlignment="1">
      <alignment horizontal="center" vertical="center"/>
    </xf>
    <xf numFmtId="37" fontId="0" fillId="0" borderId="72" xfId="0" applyNumberFormat="1" applyBorder="1" applyAlignment="1">
      <alignment horizontal="center" vertical="center"/>
    </xf>
    <xf numFmtId="37" fontId="2" fillId="0" borderId="154" xfId="0" applyNumberFormat="1" applyFont="1" applyBorder="1" applyAlignment="1">
      <alignment horizontal="center" vertical="center"/>
    </xf>
    <xf numFmtId="37" fontId="2" fillId="0" borderId="72" xfId="0" applyNumberFormat="1" applyFont="1" applyBorder="1" applyAlignment="1">
      <alignment horizontal="center" vertical="center"/>
    </xf>
    <xf numFmtId="37" fontId="2" fillId="0" borderId="157" xfId="0" applyNumberFormat="1" applyFont="1" applyBorder="1" applyAlignment="1">
      <alignment horizontal="center" vertical="center"/>
    </xf>
    <xf numFmtId="37" fontId="0" fillId="0" borderId="154" xfId="0" applyNumberFormat="1" applyBorder="1" applyAlignment="1">
      <alignment horizontal="center"/>
    </xf>
    <xf numFmtId="37" fontId="0" fillId="0" borderId="72" xfId="0" applyNumberFormat="1" applyBorder="1" applyAlignment="1">
      <alignment horizontal="center"/>
    </xf>
    <xf numFmtId="37" fontId="0" fillId="0" borderId="157" xfId="0" applyNumberFormat="1" applyBorder="1" applyAlignment="1">
      <alignment horizontal="center"/>
    </xf>
    <xf numFmtId="0" fontId="0" fillId="0" borderId="154" xfId="0" applyBorder="1" applyAlignment="1">
      <alignment horizontal="center"/>
    </xf>
    <xf numFmtId="0" fontId="0" fillId="0" borderId="72" xfId="0" applyBorder="1" applyAlignment="1">
      <alignment horizontal="center"/>
    </xf>
    <xf numFmtId="0" fontId="0" fillId="0" borderId="157" xfId="0" applyBorder="1" applyAlignment="1">
      <alignment horizontal="center"/>
    </xf>
    <xf numFmtId="3" fontId="0" fillId="0" borderId="154" xfId="0" applyNumberFormat="1" applyBorder="1" applyAlignment="1">
      <alignment horizontal="center" vertical="center"/>
    </xf>
    <xf numFmtId="3" fontId="2" fillId="0" borderId="72" xfId="0" applyNumberFormat="1" applyFont="1" applyBorder="1" applyAlignment="1">
      <alignment vertical="center"/>
    </xf>
    <xf numFmtId="0" fontId="0" fillId="0" borderId="154" xfId="0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0" fillId="0" borderId="157" xfId="0" applyBorder="1" applyAlignment="1">
      <alignment horizontal="center" vertical="center"/>
    </xf>
    <xf numFmtId="0" fontId="0" fillId="0" borderId="158" xfId="0" applyBorder="1" applyAlignment="1">
      <alignment horizontal="center" vertical="center"/>
    </xf>
    <xf numFmtId="3" fontId="2" fillId="3" borderId="148" xfId="0" applyNumberFormat="1" applyFont="1" applyFill="1" applyBorder="1" applyAlignment="1">
      <alignment vertical="center"/>
    </xf>
    <xf numFmtId="0" fontId="0" fillId="0" borderId="148" xfId="0" applyBorder="1" applyAlignment="1">
      <alignment horizontal="center" vertical="center"/>
    </xf>
    <xf numFmtId="0" fontId="0" fillId="0" borderId="159" xfId="0" applyBorder="1" applyAlignment="1">
      <alignment horizontal="center" vertical="center"/>
    </xf>
    <xf numFmtId="3" fontId="0" fillId="0" borderId="155" xfId="0" applyNumberFormat="1" applyBorder="1" applyAlignment="1">
      <alignment horizontal="center" vertical="center"/>
    </xf>
    <xf numFmtId="0" fontId="2" fillId="0" borderId="152" xfId="0" applyFont="1" applyBorder="1" applyAlignment="1">
      <alignment vertical="center"/>
    </xf>
    <xf numFmtId="164" fontId="0" fillId="0" borderId="152" xfId="3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0" xfId="0" applyBorder="1" applyAlignment="1">
      <alignment horizontal="center"/>
    </xf>
    <xf numFmtId="164" fontId="0" fillId="0" borderId="156" xfId="3" applyFont="1" applyBorder="1" applyAlignment="1">
      <alignment horizontal="center" vertical="center"/>
    </xf>
    <xf numFmtId="164" fontId="0" fillId="0" borderId="157" xfId="3" applyFont="1" applyBorder="1" applyAlignment="1">
      <alignment horizontal="center" vertical="center"/>
    </xf>
    <xf numFmtId="3" fontId="9" fillId="0" borderId="1" xfId="3" applyNumberFormat="1" applyFont="1" applyBorder="1" applyAlignment="1">
      <alignment horizontal="center" vertical="center"/>
    </xf>
    <xf numFmtId="3" fontId="9" fillId="3" borderId="24" xfId="3" applyNumberFormat="1" applyFont="1" applyFill="1" applyBorder="1" applyAlignment="1">
      <alignment horizontal="center" vertical="center"/>
    </xf>
    <xf numFmtId="3" fontId="9" fillId="0" borderId="24" xfId="3" applyNumberFormat="1" applyFont="1" applyBorder="1" applyAlignment="1">
      <alignment horizontal="center" vertical="center"/>
    </xf>
    <xf numFmtId="3" fontId="9" fillId="0" borderId="112" xfId="3" applyNumberFormat="1" applyFont="1" applyBorder="1" applyAlignment="1">
      <alignment horizontal="center" vertical="center"/>
    </xf>
    <xf numFmtId="164" fontId="9" fillId="0" borderId="0" xfId="3" applyFont="1" applyAlignment="1">
      <alignment horizontal="center" vertical="center"/>
    </xf>
    <xf numFmtId="3" fontId="9" fillId="3" borderId="40" xfId="0" applyNumberFormat="1" applyFont="1" applyFill="1" applyBorder="1" applyAlignment="1">
      <alignment horizontal="center" vertical="center"/>
    </xf>
    <xf numFmtId="4" fontId="9" fillId="3" borderId="9" xfId="0" applyNumberFormat="1" applyFont="1" applyFill="1" applyBorder="1" applyAlignment="1">
      <alignment horizontal="center" vertical="center"/>
    </xf>
    <xf numFmtId="164" fontId="9" fillId="3" borderId="40" xfId="3" applyFont="1" applyFill="1" applyBorder="1" applyAlignment="1">
      <alignment horizontal="center" vertical="center"/>
    </xf>
    <xf numFmtId="3" fontId="9" fillId="3" borderId="9" xfId="0" applyNumberFormat="1" applyFont="1" applyFill="1" applyBorder="1" applyAlignment="1">
      <alignment horizontal="center" vertical="center"/>
    </xf>
    <xf numFmtId="4" fontId="9" fillId="3" borderId="10" xfId="0" applyNumberFormat="1" applyFont="1" applyFill="1" applyBorder="1" applyAlignment="1">
      <alignment horizontal="center" vertical="center"/>
    </xf>
    <xf numFmtId="0" fontId="54" fillId="0" borderId="0" xfId="0" applyFont="1"/>
    <xf numFmtId="172" fontId="37" fillId="0" borderId="0" xfId="0" applyNumberFormat="1" applyFont="1" applyAlignment="1">
      <alignment vertical="center"/>
    </xf>
    <xf numFmtId="172" fontId="39" fillId="0" borderId="76" xfId="0" applyNumberFormat="1" applyFont="1" applyBorder="1" applyAlignment="1">
      <alignment vertical="center"/>
    </xf>
    <xf numFmtId="37" fontId="40" fillId="0" borderId="12" xfId="0" applyNumberFormat="1" applyFont="1" applyBorder="1" applyAlignment="1">
      <alignment vertical="center"/>
    </xf>
    <xf numFmtId="172" fontId="41" fillId="0" borderId="38" xfId="0" applyNumberFormat="1" applyFont="1" applyBorder="1" applyAlignment="1">
      <alignment vertical="center"/>
    </xf>
    <xf numFmtId="172" fontId="39" fillId="0" borderId="75" xfId="0" applyNumberFormat="1" applyFont="1" applyBorder="1" applyAlignment="1">
      <alignment vertical="center"/>
    </xf>
    <xf numFmtId="174" fontId="39" fillId="0" borderId="12" xfId="0" applyNumberFormat="1" applyFont="1" applyBorder="1" applyAlignment="1">
      <alignment vertical="center"/>
    </xf>
    <xf numFmtId="4" fontId="43" fillId="0" borderId="74" xfId="8" applyNumberFormat="1" applyFont="1" applyBorder="1" applyAlignment="1">
      <alignment vertical="center" wrapText="1"/>
    </xf>
    <xf numFmtId="4" fontId="43" fillId="0" borderId="99" xfId="8" applyNumberFormat="1" applyFont="1" applyBorder="1" applyAlignment="1">
      <alignment vertical="center" wrapText="1"/>
    </xf>
    <xf numFmtId="4" fontId="43" fillId="0" borderId="4" xfId="8" applyNumberFormat="1" applyFont="1" applyBorder="1" applyAlignment="1">
      <alignment vertical="center" wrapText="1"/>
    </xf>
    <xf numFmtId="172" fontId="39" fillId="0" borderId="17" xfId="0" applyNumberFormat="1" applyFont="1" applyBorder="1" applyAlignment="1">
      <alignment vertical="center"/>
    </xf>
    <xf numFmtId="37" fontId="40" fillId="0" borderId="17" xfId="0" applyNumberFormat="1" applyFont="1" applyBorder="1" applyAlignment="1">
      <alignment vertical="center"/>
    </xf>
    <xf numFmtId="181" fontId="39" fillId="0" borderId="14" xfId="0" applyNumberFormat="1" applyFont="1" applyBorder="1" applyAlignment="1">
      <alignment horizontal="right" vertical="center"/>
    </xf>
    <xf numFmtId="172" fontId="39" fillId="0" borderId="93" xfId="0" applyNumberFormat="1" applyFont="1" applyBorder="1" applyAlignment="1">
      <alignment horizontal="center" vertical="center"/>
    </xf>
    <xf numFmtId="164" fontId="41" fillId="0" borderId="94" xfId="3" applyFont="1" applyBorder="1" applyAlignment="1">
      <alignment vertical="center"/>
    </xf>
    <xf numFmtId="181" fontId="39" fillId="0" borderId="68" xfId="0" applyNumberFormat="1" applyFont="1" applyBorder="1" applyAlignment="1">
      <alignment horizontal="right" vertical="center"/>
    </xf>
    <xf numFmtId="181" fontId="36" fillId="0" borderId="29" xfId="3" applyNumberFormat="1" applyFont="1" applyBorder="1" applyAlignment="1">
      <alignment horizontal="right" vertical="center"/>
    </xf>
    <xf numFmtId="37" fontId="40" fillId="0" borderId="93" xfId="0" applyNumberFormat="1" applyFont="1" applyBorder="1" applyAlignment="1">
      <alignment vertical="center"/>
    </xf>
    <xf numFmtId="172" fontId="39" fillId="0" borderId="68" xfId="0" applyNumberFormat="1" applyFont="1" applyBorder="1" applyAlignment="1">
      <alignment horizontal="center" vertical="center"/>
    </xf>
    <xf numFmtId="172" fontId="39" fillId="0" borderId="103" xfId="0" applyNumberFormat="1" applyFont="1" applyBorder="1" applyAlignment="1">
      <alignment vertical="center"/>
    </xf>
    <xf numFmtId="172" fontId="39" fillId="0" borderId="16" xfId="0" applyNumberFormat="1" applyFont="1" applyBorder="1" applyAlignment="1">
      <alignment vertical="center"/>
    </xf>
    <xf numFmtId="37" fontId="40" fillId="0" borderId="70" xfId="0" applyNumberFormat="1" applyFont="1" applyBorder="1" applyAlignment="1">
      <alignment vertical="center"/>
    </xf>
    <xf numFmtId="172" fontId="39" fillId="0" borderId="39" xfId="0" applyNumberFormat="1" applyFont="1" applyBorder="1" applyAlignment="1">
      <alignment horizontal="center" vertical="center"/>
    </xf>
    <xf numFmtId="164" fontId="41" fillId="0" borderId="39" xfId="3" applyFont="1" applyBorder="1" applyAlignment="1">
      <alignment vertical="center"/>
    </xf>
    <xf numFmtId="181" fontId="39" fillId="0" borderId="39" xfId="0" applyNumberFormat="1" applyFont="1" applyBorder="1" applyAlignment="1">
      <alignment horizontal="right" vertical="center"/>
    </xf>
    <xf numFmtId="181" fontId="39" fillId="0" borderId="16" xfId="0" applyNumberFormat="1" applyFont="1" applyBorder="1" applyAlignment="1">
      <alignment horizontal="right" vertical="center"/>
    </xf>
    <xf numFmtId="172" fontId="39" fillId="0" borderId="97" xfId="0" applyNumberFormat="1" applyFont="1" applyBorder="1" applyAlignment="1">
      <alignment vertical="center"/>
    </xf>
    <xf numFmtId="181" fontId="39" fillId="0" borderId="14" xfId="0" applyNumberFormat="1" applyFont="1" applyBorder="1" applyAlignment="1">
      <alignment vertical="center"/>
    </xf>
    <xf numFmtId="37" fontId="40" fillId="0" borderId="14" xfId="0" applyNumberFormat="1" applyFont="1" applyBorder="1" applyAlignment="1">
      <alignment vertical="center"/>
    </xf>
    <xf numFmtId="4" fontId="9" fillId="0" borderId="1" xfId="3" applyNumberFormat="1" applyFont="1" applyBorder="1" applyAlignment="1">
      <alignment horizontal="center" vertical="center"/>
    </xf>
    <xf numFmtId="4" fontId="9" fillId="0" borderId="6" xfId="3" applyNumberFormat="1" applyFont="1" applyBorder="1" applyAlignment="1">
      <alignment horizontal="center" vertical="center"/>
    </xf>
    <xf numFmtId="4" fontId="9" fillId="0" borderId="5" xfId="3" applyNumberFormat="1" applyFont="1" applyBorder="1" applyAlignment="1">
      <alignment horizontal="center" vertical="center"/>
    </xf>
    <xf numFmtId="4" fontId="5" fillId="3" borderId="0" xfId="0" applyNumberFormat="1" applyFont="1" applyFill="1" applyAlignment="1">
      <alignment horizontal="center" vertical="center"/>
    </xf>
    <xf numFmtId="3" fontId="5" fillId="3" borderId="0" xfId="0" applyNumberFormat="1" applyFont="1" applyFill="1" applyAlignment="1">
      <alignment horizontal="center" vertical="center"/>
    </xf>
    <xf numFmtId="164" fontId="9" fillId="3" borderId="1" xfId="3" applyFont="1" applyFill="1" applyBorder="1" applyAlignment="1">
      <alignment horizontal="center" vertical="center"/>
    </xf>
    <xf numFmtId="164" fontId="9" fillId="3" borderId="5" xfId="3" applyFont="1" applyFill="1" applyBorder="1" applyAlignment="1">
      <alignment horizontal="center" vertical="center"/>
    </xf>
    <xf numFmtId="3" fontId="9" fillId="3" borderId="19" xfId="3" applyNumberFormat="1" applyFont="1" applyFill="1" applyBorder="1" applyAlignment="1">
      <alignment horizontal="center" vertical="center"/>
    </xf>
    <xf numFmtId="164" fontId="9" fillId="3" borderId="2" xfId="3" applyFont="1" applyFill="1" applyBorder="1" applyAlignment="1">
      <alignment horizontal="center" vertical="center"/>
    </xf>
    <xf numFmtId="164" fontId="9" fillId="3" borderId="11" xfId="3" applyFont="1" applyFill="1" applyBorder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56" fillId="0" borderId="1" xfId="0" applyFont="1" applyBorder="1" applyAlignment="1">
      <alignment horizontal="center" vertical="center" wrapText="1"/>
    </xf>
    <xf numFmtId="0" fontId="56" fillId="0" borderId="25" xfId="0" applyFont="1" applyBorder="1" applyAlignment="1">
      <alignment horizontal="center" vertical="center" wrapText="1"/>
    </xf>
    <xf numFmtId="0" fontId="56" fillId="0" borderId="152" xfId="0" applyFont="1" applyBorder="1" applyAlignment="1">
      <alignment horizontal="center" vertical="center"/>
    </xf>
    <xf numFmtId="175" fontId="56" fillId="0" borderId="152" xfId="3" applyNumberFormat="1" applyFont="1" applyBorder="1" applyAlignment="1">
      <alignment horizontal="left" vertical="center"/>
    </xf>
    <xf numFmtId="164" fontId="56" fillId="0" borderId="152" xfId="3" applyFont="1" applyBorder="1" applyAlignment="1">
      <alignment horizontal="left" vertical="center"/>
    </xf>
    <xf numFmtId="164" fontId="56" fillId="0" borderId="156" xfId="3" applyFont="1" applyBorder="1" applyAlignment="1">
      <alignment horizontal="left" vertical="center"/>
    </xf>
    <xf numFmtId="0" fontId="56" fillId="0" borderId="72" xfId="0" applyFont="1" applyBorder="1" applyAlignment="1">
      <alignment horizontal="center" vertical="center"/>
    </xf>
    <xf numFmtId="175" fontId="56" fillId="3" borderId="72" xfId="3" applyNumberFormat="1" applyFont="1" applyFill="1" applyBorder="1" applyAlignment="1">
      <alignment horizontal="left" vertical="center"/>
    </xf>
    <xf numFmtId="164" fontId="56" fillId="0" borderId="72" xfId="3" applyFont="1" applyBorder="1" applyAlignment="1">
      <alignment horizontal="left" vertical="center"/>
    </xf>
    <xf numFmtId="164" fontId="56" fillId="0" borderId="157" xfId="3" applyFont="1" applyBorder="1" applyAlignment="1">
      <alignment horizontal="left" vertical="center"/>
    </xf>
    <xf numFmtId="0" fontId="31" fillId="0" borderId="160" xfId="0" applyFont="1" applyBorder="1"/>
    <xf numFmtId="0" fontId="56" fillId="0" borderId="163" xfId="0" applyFont="1" applyBorder="1" applyAlignment="1">
      <alignment horizontal="center" vertical="center"/>
    </xf>
    <xf numFmtId="175" fontId="56" fillId="3" borderId="163" xfId="3" applyNumberFormat="1" applyFont="1" applyFill="1" applyBorder="1" applyAlignment="1">
      <alignment horizontal="left" vertical="center"/>
    </xf>
    <xf numFmtId="164" fontId="56" fillId="0" borderId="163" xfId="3" applyFont="1" applyBorder="1" applyAlignment="1">
      <alignment horizontal="left" vertical="center"/>
    </xf>
    <xf numFmtId="164" fontId="56" fillId="0" borderId="164" xfId="3" applyFont="1" applyBorder="1" applyAlignment="1">
      <alignment horizontal="left" vertical="center"/>
    </xf>
    <xf numFmtId="0" fontId="31" fillId="0" borderId="161" xfId="0" applyFont="1" applyBorder="1"/>
    <xf numFmtId="0" fontId="57" fillId="0" borderId="0" xfId="0" applyFont="1" applyAlignment="1">
      <alignment horizontal="left" vertical="center"/>
    </xf>
    <xf numFmtId="0" fontId="57" fillId="0" borderId="0" xfId="0" applyFont="1" applyAlignment="1">
      <alignment horizontal="center" vertical="center"/>
    </xf>
    <xf numFmtId="0" fontId="55" fillId="8" borderId="24" xfId="0" applyFont="1" applyFill="1" applyBorder="1" applyAlignment="1">
      <alignment horizontal="left" vertical="center" wrapText="1"/>
    </xf>
    <xf numFmtId="0" fontId="55" fillId="8" borderId="1" xfId="0" applyFont="1" applyFill="1" applyBorder="1" applyAlignment="1">
      <alignment horizontal="center" vertical="center" wrapText="1"/>
    </xf>
    <xf numFmtId="0" fontId="55" fillId="8" borderId="1" xfId="0" applyFont="1" applyFill="1" applyBorder="1" applyAlignment="1">
      <alignment horizontal="center" vertical="center"/>
    </xf>
    <xf numFmtId="0" fontId="55" fillId="8" borderId="25" xfId="0" applyFont="1" applyFill="1" applyBorder="1" applyAlignment="1">
      <alignment horizontal="center" vertical="center"/>
    </xf>
    <xf numFmtId="164" fontId="56" fillId="0" borderId="134" xfId="3" applyFont="1" applyBorder="1" applyAlignment="1">
      <alignment horizontal="left" vertical="center" wrapText="1"/>
    </xf>
    <xf numFmtId="164" fontId="56" fillId="0" borderId="165" xfId="3" applyFont="1" applyBorder="1" applyAlignment="1">
      <alignment horizontal="center" vertical="center" wrapText="1"/>
    </xf>
    <xf numFmtId="164" fontId="56" fillId="8" borderId="165" xfId="3" applyFont="1" applyFill="1" applyBorder="1" applyAlignment="1">
      <alignment vertical="center"/>
    </xf>
    <xf numFmtId="164" fontId="56" fillId="0" borderId="165" xfId="3" applyFont="1" applyBorder="1" applyAlignment="1">
      <alignment vertical="center"/>
    </xf>
    <xf numFmtId="164" fontId="56" fillId="0" borderId="135" xfId="3" applyFont="1" applyBorder="1" applyAlignment="1">
      <alignment vertical="center"/>
    </xf>
    <xf numFmtId="164" fontId="56" fillId="0" borderId="154" xfId="3" applyFont="1" applyBorder="1" applyAlignment="1">
      <alignment horizontal="left" vertical="center" wrapText="1"/>
    </xf>
    <xf numFmtId="164" fontId="56" fillId="0" borderId="72" xfId="3" applyFont="1" applyBorder="1" applyAlignment="1">
      <alignment horizontal="center" vertical="center" wrapText="1"/>
    </xf>
    <xf numFmtId="164" fontId="56" fillId="8" borderId="72" xfId="3" applyFont="1" applyFill="1" applyBorder="1" applyAlignment="1">
      <alignment vertical="center"/>
    </xf>
    <xf numFmtId="164" fontId="56" fillId="0" borderId="72" xfId="3" applyFont="1" applyBorder="1" applyAlignment="1">
      <alignment vertical="center"/>
    </xf>
    <xf numFmtId="164" fontId="56" fillId="0" borderId="157" xfId="3" applyFont="1" applyBorder="1" applyAlignment="1">
      <alignment vertical="center"/>
    </xf>
    <xf numFmtId="164" fontId="56" fillId="0" borderId="154" xfId="3" applyFont="1" applyBorder="1" applyAlignment="1">
      <alignment horizontal="left" vertical="center"/>
    </xf>
    <xf numFmtId="164" fontId="31" fillId="0" borderId="157" xfId="3" applyFont="1" applyBorder="1" applyAlignment="1">
      <alignment vertical="center"/>
    </xf>
    <xf numFmtId="164" fontId="56" fillId="0" borderId="162" xfId="3" applyFont="1" applyBorder="1" applyAlignment="1">
      <alignment horizontal="left" vertical="center" wrapText="1"/>
    </xf>
    <xf numFmtId="164" fontId="56" fillId="0" borderId="163" xfId="3" applyFont="1" applyBorder="1" applyAlignment="1">
      <alignment horizontal="center" vertical="center" wrapText="1"/>
    </xf>
    <xf numFmtId="164" fontId="56" fillId="0" borderId="163" xfId="3" applyFont="1" applyBorder="1" applyAlignment="1">
      <alignment vertical="center"/>
    </xf>
    <xf numFmtId="164" fontId="56" fillId="8" borderId="163" xfId="3" applyFont="1" applyFill="1" applyBorder="1" applyAlignment="1">
      <alignment vertical="center"/>
    </xf>
    <xf numFmtId="164" fontId="31" fillId="0" borderId="164" xfId="3" applyFont="1" applyBorder="1" applyAlignment="1">
      <alignment vertical="center"/>
    </xf>
    <xf numFmtId="164" fontId="55" fillId="8" borderId="24" xfId="3" applyFont="1" applyFill="1" applyBorder="1" applyAlignment="1">
      <alignment horizontal="left" vertical="center" wrapText="1"/>
    </xf>
    <xf numFmtId="164" fontId="55" fillId="8" borderId="1" xfId="3" applyFont="1" applyFill="1" applyBorder="1" applyAlignment="1">
      <alignment horizontal="center" vertical="center" wrapText="1"/>
    </xf>
    <xf numFmtId="164" fontId="55" fillId="8" borderId="1" xfId="3" applyFont="1" applyFill="1" applyBorder="1" applyAlignment="1">
      <alignment horizontal="center" vertical="center"/>
    </xf>
    <xf numFmtId="164" fontId="55" fillId="8" borderId="25" xfId="3" applyFont="1" applyFill="1" applyBorder="1" applyAlignment="1">
      <alignment horizontal="center" vertical="center"/>
    </xf>
    <xf numFmtId="164" fontId="55" fillId="0" borderId="0" xfId="3" applyFont="1" applyAlignment="1">
      <alignment horizontal="left" vertical="center" wrapText="1"/>
    </xf>
    <xf numFmtId="164" fontId="55" fillId="0" borderId="0" xfId="3" applyFont="1" applyAlignment="1">
      <alignment horizontal="center" vertical="center" wrapText="1"/>
    </xf>
    <xf numFmtId="164" fontId="55" fillId="0" borderId="0" xfId="3" applyFont="1" applyAlignment="1">
      <alignment horizontal="center" vertical="center"/>
    </xf>
    <xf numFmtId="0" fontId="56" fillId="0" borderId="134" xfId="0" applyFont="1" applyBorder="1" applyAlignment="1">
      <alignment horizontal="left" vertical="center" wrapText="1"/>
    </xf>
    <xf numFmtId="164" fontId="56" fillId="11" borderId="165" xfId="3" applyFont="1" applyFill="1" applyBorder="1" applyAlignment="1">
      <alignment vertical="center"/>
    </xf>
    <xf numFmtId="0" fontId="56" fillId="0" borderId="154" xfId="0" applyFont="1" applyBorder="1" applyAlignment="1">
      <alignment horizontal="left" vertical="center" wrapText="1"/>
    </xf>
    <xf numFmtId="164" fontId="56" fillId="11" borderId="72" xfId="3" applyFont="1" applyFill="1" applyBorder="1" applyAlignment="1">
      <alignment vertical="center"/>
    </xf>
    <xf numFmtId="164" fontId="56" fillId="11" borderId="157" xfId="3" applyFont="1" applyFill="1" applyBorder="1" applyAlignment="1">
      <alignment vertical="center"/>
    </xf>
    <xf numFmtId="0" fontId="56" fillId="0" borderId="162" xfId="0" applyFont="1" applyBorder="1" applyAlignment="1">
      <alignment horizontal="left" vertical="center" wrapText="1"/>
    </xf>
    <xf numFmtId="164" fontId="56" fillId="11" borderId="164" xfId="3" applyFont="1" applyFill="1" applyBorder="1" applyAlignment="1">
      <alignment vertical="center"/>
    </xf>
    <xf numFmtId="9" fontId="31" fillId="0" borderId="0" xfId="2" applyFont="1"/>
    <xf numFmtId="0" fontId="31" fillId="0" borderId="0" xfId="0" applyFont="1" applyAlignment="1">
      <alignment horizontal="left"/>
    </xf>
    <xf numFmtId="43" fontId="58" fillId="0" borderId="166" xfId="0" applyNumberFormat="1" applyFont="1" applyBorder="1"/>
    <xf numFmtId="0" fontId="31" fillId="0" borderId="0" xfId="0" applyFont="1" applyAlignment="1">
      <alignment horizontal="center"/>
    </xf>
    <xf numFmtId="181" fontId="36" fillId="0" borderId="17" xfId="7" applyNumberFormat="1" applyFont="1" applyBorder="1" applyAlignment="1">
      <alignment vertical="center"/>
    </xf>
    <xf numFmtId="174" fontId="36" fillId="0" borderId="17" xfId="7" applyNumberFormat="1" applyFont="1" applyBorder="1" applyAlignment="1">
      <alignment vertical="center"/>
    </xf>
    <xf numFmtId="164" fontId="36" fillId="0" borderId="17" xfId="7" applyNumberFormat="1" applyFont="1" applyBorder="1" applyAlignment="1">
      <alignment vertical="center"/>
    </xf>
    <xf numFmtId="4" fontId="18" fillId="3" borderId="40" xfId="0" applyNumberFormat="1" applyFont="1" applyFill="1" applyBorder="1" applyAlignment="1">
      <alignment horizontal="center" vertical="center"/>
    </xf>
    <xf numFmtId="164" fontId="36" fillId="0" borderId="0" xfId="3" applyFont="1" applyAlignment="1">
      <alignment horizontal="center" vertical="center"/>
    </xf>
    <xf numFmtId="164" fontId="39" fillId="3" borderId="13" xfId="6" applyFont="1" applyFill="1" applyBorder="1" applyAlignment="1">
      <alignment horizontal="center" vertical="center"/>
    </xf>
    <xf numFmtId="164" fontId="39" fillId="3" borderId="17" xfId="6" applyFont="1" applyFill="1" applyBorder="1" applyAlignment="1">
      <alignment horizontal="center" vertical="center"/>
    </xf>
    <xf numFmtId="0" fontId="17" fillId="3" borderId="9" xfId="0" applyFont="1" applyFill="1" applyBorder="1" applyAlignment="1">
      <alignment horizontal="center" vertical="center"/>
    </xf>
    <xf numFmtId="4" fontId="17" fillId="3" borderId="6" xfId="0" applyNumberFormat="1" applyFont="1" applyFill="1" applyBorder="1" applyAlignment="1">
      <alignment vertical="center"/>
    </xf>
    <xf numFmtId="0" fontId="17" fillId="3" borderId="94" xfId="0" applyFont="1" applyFill="1" applyBorder="1" applyAlignment="1">
      <alignment horizontal="center" vertical="center"/>
    </xf>
    <xf numFmtId="4" fontId="17" fillId="3" borderId="2" xfId="0" applyNumberFormat="1" applyFont="1" applyFill="1" applyBorder="1" applyAlignment="1">
      <alignment vertical="center"/>
    </xf>
    <xf numFmtId="4" fontId="17" fillId="3" borderId="94" xfId="0" applyNumberFormat="1" applyFont="1" applyFill="1" applyBorder="1" applyAlignment="1">
      <alignment vertical="center"/>
    </xf>
    <xf numFmtId="1" fontId="39" fillId="0" borderId="0" xfId="0" applyNumberFormat="1" applyFont="1" applyAlignment="1">
      <alignment horizontal="center" vertical="center"/>
    </xf>
    <xf numFmtId="10" fontId="59" fillId="0" borderId="95" xfId="2" applyNumberFormat="1" applyFont="1" applyBorder="1" applyAlignment="1">
      <alignment vertical="center"/>
    </xf>
    <xf numFmtId="9" fontId="24" fillId="10" borderId="1" xfId="2" applyFont="1" applyFill="1" applyBorder="1" applyAlignment="1">
      <alignment horizontal="center" vertical="center"/>
    </xf>
    <xf numFmtId="3" fontId="24" fillId="10" borderId="25" xfId="0" applyNumberFormat="1" applyFont="1" applyFill="1" applyBorder="1" applyAlignment="1">
      <alignment horizontal="center" vertical="center"/>
    </xf>
    <xf numFmtId="3" fontId="24" fillId="10" borderId="5" xfId="0" applyNumberFormat="1" applyFont="1" applyFill="1" applyBorder="1" applyAlignment="1">
      <alignment horizontal="center" vertical="center"/>
    </xf>
    <xf numFmtId="3" fontId="24" fillId="10" borderId="1" xfId="0" applyNumberFormat="1" applyFont="1" applyFill="1" applyBorder="1" applyAlignment="1">
      <alignment horizontal="center" vertical="center"/>
    </xf>
    <xf numFmtId="3" fontId="24" fillId="10" borderId="34" xfId="0" applyNumberFormat="1" applyFont="1" applyFill="1" applyBorder="1" applyAlignment="1">
      <alignment horizontal="center" vertical="center"/>
    </xf>
    <xf numFmtId="4" fontId="18" fillId="10" borderId="2" xfId="0" applyNumberFormat="1" applyFont="1" applyFill="1" applyBorder="1" applyAlignment="1">
      <alignment horizontal="center" vertical="center"/>
    </xf>
    <xf numFmtId="4" fontId="18" fillId="10" borderId="11" xfId="0" applyNumberFormat="1" applyFont="1" applyFill="1" applyBorder="1" applyAlignment="1">
      <alignment horizontal="center" vertical="center"/>
    </xf>
    <xf numFmtId="3" fontId="9" fillId="10" borderId="24" xfId="0" applyNumberFormat="1" applyFont="1" applyFill="1" applyBorder="1" applyAlignment="1">
      <alignment horizontal="center" vertical="center"/>
    </xf>
    <xf numFmtId="4" fontId="9" fillId="10" borderId="1" xfId="0" applyNumberFormat="1" applyFont="1" applyFill="1" applyBorder="1" applyAlignment="1">
      <alignment horizontal="center" vertical="center"/>
    </xf>
    <xf numFmtId="3" fontId="9" fillId="10" borderId="1" xfId="0" applyNumberFormat="1" applyFont="1" applyFill="1" applyBorder="1" applyAlignment="1">
      <alignment horizontal="center" vertical="center"/>
    </xf>
    <xf numFmtId="4" fontId="9" fillId="10" borderId="5" xfId="0" applyNumberFormat="1" applyFont="1" applyFill="1" applyBorder="1" applyAlignment="1">
      <alignment horizontal="center" vertical="center"/>
    </xf>
    <xf numFmtId="164" fontId="9" fillId="10" borderId="24" xfId="3" applyFont="1" applyFill="1" applyBorder="1" applyAlignment="1">
      <alignment horizontal="center" vertical="center"/>
    </xf>
    <xf numFmtId="164" fontId="9" fillId="10" borderId="1" xfId="3" applyFont="1" applyFill="1" applyBorder="1" applyAlignment="1">
      <alignment horizontal="center" vertical="center"/>
    </xf>
    <xf numFmtId="3" fontId="9" fillId="10" borderId="1" xfId="3" applyNumberFormat="1" applyFont="1" applyFill="1" applyBorder="1" applyAlignment="1">
      <alignment horizontal="center" vertical="center"/>
    </xf>
    <xf numFmtId="4" fontId="9" fillId="10" borderId="5" xfId="3" applyNumberFormat="1" applyFont="1" applyFill="1" applyBorder="1" applyAlignment="1">
      <alignment horizontal="center" vertical="center"/>
    </xf>
    <xf numFmtId="3" fontId="9" fillId="10" borderId="24" xfId="3" applyNumberFormat="1" applyFont="1" applyFill="1" applyBorder="1" applyAlignment="1">
      <alignment horizontal="center" vertical="center"/>
    </xf>
    <xf numFmtId="4" fontId="9" fillId="10" borderId="1" xfId="3" applyNumberFormat="1" applyFont="1" applyFill="1" applyBorder="1" applyAlignment="1">
      <alignment horizontal="center" vertical="center"/>
    </xf>
    <xf numFmtId="3" fontId="9" fillId="10" borderId="6" xfId="3" applyNumberFormat="1" applyFont="1" applyFill="1" applyBorder="1" applyAlignment="1">
      <alignment horizontal="center" vertical="center"/>
    </xf>
    <xf numFmtId="4" fontId="9" fillId="10" borderId="7" xfId="3" applyNumberFormat="1" applyFont="1" applyFill="1" applyBorder="1" applyAlignment="1">
      <alignment horizontal="center" vertical="center"/>
    </xf>
    <xf numFmtId="3" fontId="18" fillId="10" borderId="1" xfId="0" applyNumberFormat="1" applyFont="1" applyFill="1" applyBorder="1" applyAlignment="1">
      <alignment horizontal="center" vertical="center"/>
    </xf>
    <xf numFmtId="3" fontId="18" fillId="10" borderId="6" xfId="0" applyNumberFormat="1" applyFont="1" applyFill="1" applyBorder="1" applyAlignment="1">
      <alignment horizontal="center" vertical="center"/>
    </xf>
    <xf numFmtId="4" fontId="18" fillId="10" borderId="1" xfId="0" applyNumberFormat="1" applyFont="1" applyFill="1" applyBorder="1" applyAlignment="1">
      <alignment horizontal="center" vertical="center"/>
    </xf>
    <xf numFmtId="4" fontId="18" fillId="10" borderId="6" xfId="0" applyNumberFormat="1" applyFont="1" applyFill="1" applyBorder="1" applyAlignment="1">
      <alignment horizontal="center" vertical="center"/>
    </xf>
    <xf numFmtId="4" fontId="18" fillId="10" borderId="5" xfId="0" quotePrefix="1" applyNumberFormat="1" applyFont="1" applyFill="1" applyBorder="1" applyAlignment="1">
      <alignment horizontal="center" vertical="center"/>
    </xf>
    <xf numFmtId="4" fontId="18" fillId="10" borderId="7" xfId="0" quotePrefix="1" applyNumberFormat="1" applyFont="1" applyFill="1" applyBorder="1" applyAlignment="1">
      <alignment horizontal="center" vertical="center"/>
    </xf>
    <xf numFmtId="4" fontId="18" fillId="10" borderId="11" xfId="1" applyNumberFormat="1" applyFont="1" applyFill="1" applyBorder="1" applyAlignment="1">
      <alignment horizontal="center" vertical="center"/>
    </xf>
    <xf numFmtId="4" fontId="18" fillId="10" borderId="7" xfId="1" applyNumberFormat="1" applyFont="1" applyFill="1" applyBorder="1" applyAlignment="1">
      <alignment horizontal="center" vertical="center"/>
    </xf>
    <xf numFmtId="4" fontId="18" fillId="10" borderId="5" xfId="0" applyNumberFormat="1" applyFont="1" applyFill="1" applyBorder="1" applyAlignment="1">
      <alignment horizontal="center" vertical="center"/>
    </xf>
    <xf numFmtId="4" fontId="18" fillId="10" borderId="19" xfId="0" applyNumberFormat="1" applyFont="1" applyFill="1" applyBorder="1" applyAlignment="1">
      <alignment horizontal="center" vertical="center"/>
    </xf>
    <xf numFmtId="44" fontId="18" fillId="10" borderId="1" xfId="5" applyFont="1" applyFill="1" applyBorder="1" applyAlignment="1">
      <alignment horizontal="center" vertical="center"/>
    </xf>
    <xf numFmtId="0" fontId="20" fillId="0" borderId="0" xfId="0" applyFont="1" applyAlignment="1">
      <alignment horizontal="center"/>
    </xf>
    <xf numFmtId="180" fontId="25" fillId="2" borderId="17" xfId="0" applyNumberFormat="1" applyFont="1" applyFill="1" applyBorder="1" applyAlignment="1">
      <alignment horizontal="center"/>
    </xf>
    <xf numFmtId="8" fontId="48" fillId="0" borderId="115" xfId="0" applyNumberFormat="1" applyFont="1" applyBorder="1" applyAlignment="1">
      <alignment horizontal="center" wrapText="1"/>
    </xf>
    <xf numFmtId="8" fontId="48" fillId="0" borderId="115" xfId="0" applyNumberFormat="1" applyFont="1" applyBorder="1" applyAlignment="1">
      <alignment horizontal="center" vertical="center" wrapText="1"/>
    </xf>
    <xf numFmtId="8" fontId="48" fillId="0" borderId="116" xfId="0" applyNumberFormat="1" applyFont="1" applyBorder="1" applyAlignment="1">
      <alignment horizontal="center" wrapText="1"/>
    </xf>
    <xf numFmtId="8" fontId="48" fillId="0" borderId="116" xfId="0" applyNumberFormat="1" applyFont="1" applyBorder="1" applyAlignment="1">
      <alignment horizontal="center" vertical="center" wrapText="1"/>
    </xf>
    <xf numFmtId="8" fontId="48" fillId="0" borderId="117" xfId="0" applyNumberFormat="1" applyFont="1" applyBorder="1" applyAlignment="1">
      <alignment horizontal="center" wrapText="1"/>
    </xf>
    <xf numFmtId="8" fontId="48" fillId="0" borderId="117" xfId="0" applyNumberFormat="1" applyFont="1" applyBorder="1" applyAlignment="1">
      <alignment horizontal="center" vertical="center" wrapText="1"/>
    </xf>
    <xf numFmtId="8" fontId="48" fillId="0" borderId="133" xfId="0" applyNumberFormat="1" applyFont="1" applyBorder="1" applyAlignment="1">
      <alignment horizontal="center" wrapText="1"/>
    </xf>
    <xf numFmtId="8" fontId="48" fillId="0" borderId="133" xfId="0" applyNumberFormat="1" applyFont="1" applyBorder="1" applyAlignment="1">
      <alignment horizontal="center" vertical="center" wrapText="1"/>
    </xf>
    <xf numFmtId="8" fontId="48" fillId="0" borderId="167" xfId="0" applyNumberFormat="1" applyFont="1" applyBorder="1" applyAlignment="1">
      <alignment horizontal="center" wrapText="1"/>
    </xf>
    <xf numFmtId="8" fontId="48" fillId="0" borderId="167" xfId="0" applyNumberFormat="1" applyFont="1" applyBorder="1" applyAlignment="1">
      <alignment horizontal="center" vertical="center" wrapText="1"/>
    </xf>
    <xf numFmtId="0" fontId="25" fillId="0" borderId="168" xfId="0" applyFont="1" applyBorder="1" applyAlignment="1">
      <alignment horizontal="center" wrapText="1"/>
    </xf>
    <xf numFmtId="0" fontId="25" fillId="0" borderId="169" xfId="0" applyFont="1" applyBorder="1" applyAlignment="1">
      <alignment horizontal="center" wrapText="1"/>
    </xf>
    <xf numFmtId="0" fontId="25" fillId="2" borderId="65" xfId="0" applyFont="1" applyFill="1" applyBorder="1" applyAlignment="1">
      <alignment horizontal="center"/>
    </xf>
    <xf numFmtId="0" fontId="18" fillId="0" borderId="9" xfId="0" applyFont="1" applyBorder="1" applyAlignment="1">
      <alignment horizontal="center" vertical="center"/>
    </xf>
    <xf numFmtId="0" fontId="18" fillId="0" borderId="9" xfId="0" applyFont="1" applyBorder="1" applyAlignment="1">
      <alignment wrapText="1"/>
    </xf>
    <xf numFmtId="44" fontId="18" fillId="0" borderId="9" xfId="5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wrapText="1"/>
    </xf>
    <xf numFmtId="44" fontId="18" fillId="0" borderId="3" xfId="5" applyFont="1" applyBorder="1" applyAlignment="1">
      <alignment horizontal="center" vertical="center"/>
    </xf>
    <xf numFmtId="0" fontId="18" fillId="0" borderId="0" xfId="0" applyFont="1"/>
    <xf numFmtId="0" fontId="18" fillId="0" borderId="170" xfId="0" applyFont="1" applyBorder="1" applyAlignment="1">
      <alignment horizontal="center" vertical="center"/>
    </xf>
    <xf numFmtId="0" fontId="18" fillId="0" borderId="170" xfId="0" applyFont="1" applyBorder="1"/>
    <xf numFmtId="0" fontId="25" fillId="2" borderId="13" xfId="0" applyFont="1" applyFill="1" applyBorder="1" applyAlignment="1">
      <alignment horizontal="right"/>
    </xf>
    <xf numFmtId="0" fontId="25" fillId="2" borderId="47" xfId="0" applyFont="1" applyFill="1" applyBorder="1" applyAlignment="1">
      <alignment horizontal="center" vertical="center" wrapText="1"/>
    </xf>
    <xf numFmtId="0" fontId="25" fillId="2" borderId="26" xfId="0" applyFont="1" applyFill="1" applyBorder="1" applyAlignment="1">
      <alignment horizontal="center" vertical="center" wrapText="1"/>
    </xf>
    <xf numFmtId="0" fontId="25" fillId="2" borderId="171" xfId="0" applyFont="1" applyFill="1" applyBorder="1" applyAlignment="1">
      <alignment horizontal="center" vertical="center" wrapText="1"/>
    </xf>
    <xf numFmtId="0" fontId="25" fillId="2" borderId="172" xfId="0" applyFont="1" applyFill="1" applyBorder="1" applyAlignment="1">
      <alignment horizontal="center" wrapText="1"/>
    </xf>
    <xf numFmtId="0" fontId="25" fillId="2" borderId="173" xfId="0" applyFont="1" applyFill="1" applyBorder="1" applyAlignment="1">
      <alignment horizontal="center" wrapText="1"/>
    </xf>
    <xf numFmtId="0" fontId="25" fillId="2" borderId="30" xfId="0" applyFont="1" applyFill="1" applyBorder="1" applyAlignment="1">
      <alignment horizontal="center" vertical="center" wrapText="1"/>
    </xf>
    <xf numFmtId="4" fontId="17" fillId="10" borderId="17" xfId="0" applyNumberFormat="1" applyFont="1" applyFill="1" applyBorder="1" applyAlignment="1">
      <alignment horizontal="center" vertical="center"/>
    </xf>
    <xf numFmtId="4" fontId="18" fillId="10" borderId="24" xfId="0" applyNumberFormat="1" applyFont="1" applyFill="1" applyBorder="1" applyAlignment="1">
      <alignment horizontal="center" vertical="center"/>
    </xf>
    <xf numFmtId="4" fontId="17" fillId="10" borderId="68" xfId="0" applyNumberFormat="1" applyFont="1" applyFill="1" applyBorder="1" applyAlignment="1">
      <alignment horizontal="center" vertical="center"/>
    </xf>
    <xf numFmtId="4" fontId="17" fillId="10" borderId="15" xfId="0" applyNumberFormat="1" applyFont="1" applyFill="1" applyBorder="1" applyAlignment="1">
      <alignment horizontal="center" vertical="center"/>
    </xf>
    <xf numFmtId="4" fontId="18" fillId="10" borderId="72" xfId="0" applyNumberFormat="1" applyFont="1" applyFill="1" applyBorder="1" applyAlignment="1">
      <alignment horizontal="center" vertical="center"/>
    </xf>
    <xf numFmtId="4" fontId="18" fillId="10" borderId="73" xfId="0" applyNumberFormat="1" applyFont="1" applyFill="1" applyBorder="1" applyAlignment="1">
      <alignment horizontal="center" vertical="center"/>
    </xf>
    <xf numFmtId="4" fontId="24" fillId="10" borderId="19" xfId="0" applyNumberFormat="1" applyFont="1" applyFill="1" applyBorder="1" applyAlignment="1">
      <alignment horizontal="center" vertical="center"/>
    </xf>
    <xf numFmtId="4" fontId="24" fillId="10" borderId="2" xfId="0" applyNumberFormat="1" applyFont="1" applyFill="1" applyBorder="1" applyAlignment="1">
      <alignment horizontal="center" vertical="center"/>
    </xf>
    <xf numFmtId="4" fontId="21" fillId="10" borderId="17" xfId="0" applyNumberFormat="1" applyFont="1" applyFill="1" applyBorder="1" applyAlignment="1">
      <alignment horizontal="center" vertical="center"/>
    </xf>
    <xf numFmtId="4" fontId="24" fillId="10" borderId="74" xfId="0" applyNumberFormat="1" applyFont="1" applyFill="1" applyBorder="1" applyAlignment="1">
      <alignment horizontal="center" vertical="center"/>
    </xf>
    <xf numFmtId="4" fontId="24" fillId="10" borderId="33" xfId="0" applyNumberFormat="1" applyFont="1" applyFill="1" applyBorder="1" applyAlignment="1">
      <alignment horizontal="center" vertical="center"/>
    </xf>
    <xf numFmtId="164" fontId="39" fillId="10" borderId="17" xfId="6" applyFont="1" applyFill="1" applyBorder="1" applyAlignment="1">
      <alignment horizontal="center" vertical="center"/>
    </xf>
    <xf numFmtId="164" fontId="39" fillId="10" borderId="13" xfId="6" applyFont="1" applyFill="1" applyBorder="1" applyAlignment="1">
      <alignment horizontal="center" vertical="center"/>
    </xf>
    <xf numFmtId="4" fontId="18" fillId="0" borderId="122" xfId="0" applyNumberFormat="1" applyFont="1" applyBorder="1" applyAlignment="1">
      <alignment horizontal="center" vertical="center"/>
    </xf>
    <xf numFmtId="4" fontId="17" fillId="10" borderId="111" xfId="0" applyNumberFormat="1" applyFont="1" applyFill="1" applyBorder="1" applyAlignment="1">
      <alignment horizontal="center" vertical="center"/>
    </xf>
    <xf numFmtId="0" fontId="17" fillId="10" borderId="9" xfId="0" applyFont="1" applyFill="1" applyBorder="1" applyAlignment="1">
      <alignment horizontal="center" vertical="center"/>
    </xf>
    <xf numFmtId="0" fontId="17" fillId="10" borderId="10" xfId="0" applyFont="1" applyFill="1" applyBorder="1" applyAlignment="1">
      <alignment horizontal="center" vertical="center"/>
    </xf>
    <xf numFmtId="4" fontId="17" fillId="10" borderId="1" xfId="0" applyNumberFormat="1" applyFont="1" applyFill="1" applyBorder="1" applyAlignment="1">
      <alignment vertical="center"/>
    </xf>
    <xf numFmtId="4" fontId="17" fillId="10" borderId="5" xfId="0" applyNumberFormat="1" applyFont="1" applyFill="1" applyBorder="1" applyAlignment="1">
      <alignment vertical="center"/>
    </xf>
    <xf numFmtId="4" fontId="18" fillId="10" borderId="1" xfId="0" applyNumberFormat="1" applyFont="1" applyFill="1" applyBorder="1" applyAlignment="1">
      <alignment vertical="center"/>
    </xf>
    <xf numFmtId="4" fontId="18" fillId="10" borderId="5" xfId="0" applyNumberFormat="1" applyFont="1" applyFill="1" applyBorder="1" applyAlignment="1">
      <alignment vertical="center"/>
    </xf>
    <xf numFmtId="4" fontId="17" fillId="10" borderId="6" xfId="0" applyNumberFormat="1" applyFont="1" applyFill="1" applyBorder="1" applyAlignment="1">
      <alignment vertical="center"/>
    </xf>
    <xf numFmtId="4" fontId="17" fillId="10" borderId="7" xfId="0" applyNumberFormat="1" applyFont="1" applyFill="1" applyBorder="1" applyAlignment="1">
      <alignment vertical="center"/>
    </xf>
    <xf numFmtId="0" fontId="17" fillId="10" borderId="94" xfId="0" applyFont="1" applyFill="1" applyBorder="1" applyAlignment="1">
      <alignment horizontal="center" vertical="center"/>
    </xf>
    <xf numFmtId="0" fontId="17" fillId="10" borderId="68" xfId="0" applyFont="1" applyFill="1" applyBorder="1" applyAlignment="1">
      <alignment horizontal="center" vertical="center"/>
    </xf>
    <xf numFmtId="0" fontId="17" fillId="10" borderId="17" xfId="0" applyFont="1" applyFill="1" applyBorder="1" applyAlignment="1">
      <alignment horizontal="center" vertical="center"/>
    </xf>
    <xf numFmtId="4" fontId="17" fillId="10" borderId="37" xfId="0" applyNumberFormat="1" applyFont="1" applyFill="1" applyBorder="1" applyAlignment="1">
      <alignment vertical="center"/>
    </xf>
    <xf numFmtId="4" fontId="18" fillId="10" borderId="25" xfId="0" applyNumberFormat="1" applyFont="1" applyFill="1" applyBorder="1" applyAlignment="1">
      <alignment vertical="center"/>
    </xf>
    <xf numFmtId="4" fontId="17" fillId="10" borderId="23" xfId="0" applyNumberFormat="1" applyFont="1" applyFill="1" applyBorder="1" applyAlignment="1">
      <alignment vertical="center"/>
    </xf>
    <xf numFmtId="4" fontId="17" fillId="10" borderId="25" xfId="0" applyNumberFormat="1" applyFont="1" applyFill="1" applyBorder="1" applyAlignment="1">
      <alignment vertical="center"/>
    </xf>
    <xf numFmtId="4" fontId="17" fillId="10" borderId="66" xfId="0" applyNumberFormat="1" applyFont="1" applyFill="1" applyBorder="1" applyAlignment="1">
      <alignment vertical="center"/>
    </xf>
    <xf numFmtId="4" fontId="17" fillId="10" borderId="94" xfId="0" applyNumberFormat="1" applyFont="1" applyFill="1" applyBorder="1" applyAlignment="1">
      <alignment vertical="center"/>
    </xf>
    <xf numFmtId="4" fontId="17" fillId="10" borderId="95" xfId="0" applyNumberFormat="1" applyFont="1" applyFill="1" applyBorder="1" applyAlignment="1">
      <alignment vertical="center"/>
    </xf>
    <xf numFmtId="4" fontId="17" fillId="10" borderId="17" xfId="0" applyNumberFormat="1" applyFont="1" applyFill="1" applyBorder="1" applyAlignment="1">
      <alignment vertical="center"/>
    </xf>
    <xf numFmtId="8" fontId="0" fillId="10" borderId="18" xfId="0" applyNumberFormat="1" applyFill="1" applyBorder="1" applyAlignment="1">
      <alignment horizontal="center"/>
    </xf>
    <xf numFmtId="8" fontId="0" fillId="10" borderId="23" xfId="0" applyNumberFormat="1" applyFill="1" applyBorder="1" applyAlignment="1">
      <alignment horizontal="center"/>
    </xf>
    <xf numFmtId="8" fontId="0" fillId="10" borderId="27" xfId="0" applyNumberFormat="1" applyFill="1" applyBorder="1" applyAlignment="1">
      <alignment horizontal="center"/>
    </xf>
    <xf numFmtId="8" fontId="0" fillId="10" borderId="37" xfId="0" applyNumberFormat="1" applyFill="1" applyBorder="1" applyAlignment="1">
      <alignment horizontal="center"/>
    </xf>
    <xf numFmtId="164" fontId="17" fillId="0" borderId="0" xfId="3" applyFont="1" applyAlignment="1">
      <alignment horizontal="center" vertical="center"/>
    </xf>
    <xf numFmtId="43" fontId="18" fillId="0" borderId="0" xfId="0" applyNumberFormat="1" applyFont="1" applyAlignment="1">
      <alignment vertical="center"/>
    </xf>
    <xf numFmtId="185" fontId="18" fillId="0" borderId="0" xfId="2" applyNumberFormat="1" applyFont="1" applyAlignment="1">
      <alignment vertical="center"/>
    </xf>
    <xf numFmtId="4" fontId="18" fillId="12" borderId="11" xfId="1" applyNumberFormat="1" applyFont="1" applyFill="1" applyBorder="1" applyAlignment="1">
      <alignment horizontal="center" vertical="center"/>
    </xf>
    <xf numFmtId="4" fontId="18" fillId="12" borderId="4" xfId="1" applyNumberFormat="1" applyFont="1" applyFill="1" applyBorder="1" applyAlignment="1">
      <alignment horizontal="center" vertical="center"/>
    </xf>
    <xf numFmtId="4" fontId="18" fillId="12" borderId="7" xfId="1" applyNumberFormat="1" applyFont="1" applyFill="1" applyBorder="1" applyAlignment="1">
      <alignment horizontal="center" vertical="center"/>
    </xf>
    <xf numFmtId="3" fontId="18" fillId="12" borderId="9" xfId="0" applyNumberFormat="1" applyFont="1" applyFill="1" applyBorder="1" applyAlignment="1">
      <alignment horizontal="center" vertical="center"/>
    </xf>
    <xf numFmtId="4" fontId="18" fillId="12" borderId="9" xfId="0" applyNumberFormat="1" applyFont="1" applyFill="1" applyBorder="1" applyAlignment="1">
      <alignment horizontal="center" vertical="center"/>
    </xf>
    <xf numFmtId="4" fontId="18" fillId="12" borderId="40" xfId="0" applyNumberFormat="1" applyFont="1" applyFill="1" applyBorder="1" applyAlignment="1">
      <alignment horizontal="center" vertical="center"/>
    </xf>
    <xf numFmtId="4" fontId="18" fillId="12" borderId="9" xfId="0" quotePrefix="1" applyNumberFormat="1" applyFont="1" applyFill="1" applyBorder="1" applyAlignment="1">
      <alignment horizontal="center" vertical="center"/>
    </xf>
    <xf numFmtId="4" fontId="18" fillId="12" borderId="10" xfId="0" quotePrefix="1" applyNumberFormat="1" applyFont="1" applyFill="1" applyBorder="1" applyAlignment="1">
      <alignment horizontal="center" vertical="center"/>
    </xf>
    <xf numFmtId="3" fontId="18" fillId="12" borderId="1" xfId="0" applyNumberFormat="1" applyFont="1" applyFill="1" applyBorder="1" applyAlignment="1">
      <alignment horizontal="center" vertical="center"/>
    </xf>
    <xf numFmtId="4" fontId="18" fillId="12" borderId="1" xfId="0" applyNumberFormat="1" applyFont="1" applyFill="1" applyBorder="1" applyAlignment="1">
      <alignment horizontal="center" vertical="center"/>
    </xf>
    <xf numFmtId="4" fontId="18" fillId="12" borderId="24" xfId="0" applyNumberFormat="1" applyFont="1" applyFill="1" applyBorder="1" applyAlignment="1">
      <alignment horizontal="center" vertical="center"/>
    </xf>
    <xf numFmtId="4" fontId="18" fillId="12" borderId="1" xfId="0" quotePrefix="1" applyNumberFormat="1" applyFont="1" applyFill="1" applyBorder="1" applyAlignment="1">
      <alignment horizontal="center" vertical="center"/>
    </xf>
    <xf numFmtId="4" fontId="18" fillId="12" borderId="5" xfId="0" quotePrefix="1" applyNumberFormat="1" applyFont="1" applyFill="1" applyBorder="1" applyAlignment="1">
      <alignment horizontal="center" vertical="center"/>
    </xf>
    <xf numFmtId="3" fontId="18" fillId="0" borderId="9" xfId="0" applyNumberFormat="1" applyFont="1" applyBorder="1" applyAlignment="1">
      <alignment horizontal="center" vertical="center"/>
    </xf>
    <xf numFmtId="4" fontId="18" fillId="0" borderId="9" xfId="0" applyNumberFormat="1" applyFont="1" applyBorder="1" applyAlignment="1">
      <alignment horizontal="center" vertical="center"/>
    </xf>
    <xf numFmtId="4" fontId="18" fillId="0" borderId="9" xfId="0" quotePrefix="1" applyNumberFormat="1" applyFont="1" applyBorder="1" applyAlignment="1">
      <alignment horizontal="center" vertical="center"/>
    </xf>
    <xf numFmtId="4" fontId="18" fillId="0" borderId="10" xfId="0" quotePrefix="1" applyNumberFormat="1" applyFont="1" applyBorder="1" applyAlignment="1">
      <alignment horizontal="center" vertical="center"/>
    </xf>
    <xf numFmtId="4" fontId="18" fillId="0" borderId="5" xfId="0" quotePrefix="1" applyNumberFormat="1" applyFont="1" applyBorder="1" applyAlignment="1">
      <alignment horizontal="center" vertical="center"/>
    </xf>
    <xf numFmtId="4" fontId="18" fillId="0" borderId="7" xfId="0" quotePrefix="1" applyNumberFormat="1" applyFont="1" applyBorder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0" fontId="28" fillId="0" borderId="0" xfId="0" applyFont="1"/>
    <xf numFmtId="0" fontId="28" fillId="0" borderId="1" xfId="0" applyFont="1" applyBorder="1" applyAlignment="1">
      <alignment horizontal="center"/>
    </xf>
    <xf numFmtId="0" fontId="2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" fontId="0" fillId="0" borderId="1" xfId="0" applyNumberFormat="1" applyBorder="1"/>
    <xf numFmtId="3" fontId="0" fillId="0" borderId="1" xfId="2" applyNumberFormat="1" applyFont="1" applyBorder="1"/>
    <xf numFmtId="0" fontId="0" fillId="0" borderId="1" xfId="0" applyBorder="1"/>
    <xf numFmtId="2" fontId="0" fillId="0" borderId="1" xfId="2" applyNumberFormat="1" applyFont="1" applyBorder="1"/>
    <xf numFmtId="9" fontId="0" fillId="0" borderId="1" xfId="2" applyFont="1" applyBorder="1"/>
    <xf numFmtId="0" fontId="0" fillId="13" borderId="1" xfId="0" applyFill="1" applyBorder="1" applyAlignment="1">
      <alignment horizontal="center"/>
    </xf>
    <xf numFmtId="2" fontId="0" fillId="13" borderId="1" xfId="2" applyNumberFormat="1" applyFont="1" applyFill="1" applyBorder="1"/>
    <xf numFmtId="4" fontId="0" fillId="13" borderId="1" xfId="2" applyNumberFormat="1" applyFont="1" applyFill="1" applyBorder="1"/>
    <xf numFmtId="0" fontId="0" fillId="0" borderId="1" xfId="0" applyBorder="1" applyAlignment="1">
      <alignment horizontal="center"/>
    </xf>
    <xf numFmtId="4" fontId="0" fillId="0" borderId="1" xfId="2" applyNumberFormat="1" applyFont="1" applyBorder="1"/>
    <xf numFmtId="2" fontId="0" fillId="0" borderId="1" xfId="0" applyNumberFormat="1" applyBorder="1"/>
    <xf numFmtId="186" fontId="28" fillId="0" borderId="1" xfId="2" applyNumberFormat="1" applyFont="1" applyBorder="1"/>
    <xf numFmtId="0" fontId="28" fillId="0" borderId="1" xfId="0" applyFont="1" applyBorder="1"/>
    <xf numFmtId="2" fontId="28" fillId="0" borderId="1" xfId="2" applyNumberFormat="1" applyFont="1" applyBorder="1"/>
    <xf numFmtId="9" fontId="28" fillId="0" borderId="1" xfId="2" applyFont="1" applyBorder="1"/>
    <xf numFmtId="0" fontId="0" fillId="0" borderId="0" xfId="0" applyAlignment="1">
      <alignment horizontal="right"/>
    </xf>
    <xf numFmtId="2" fontId="0" fillId="0" borderId="0" xfId="2" applyNumberFormat="1" applyFont="1"/>
    <xf numFmtId="4" fontId="28" fillId="0" borderId="1" xfId="0" applyNumberFormat="1" applyFont="1" applyBorder="1"/>
    <xf numFmtId="9" fontId="0" fillId="3" borderId="0" xfId="0" applyNumberFormat="1" applyFill="1"/>
    <xf numFmtId="0" fontId="17" fillId="0" borderId="69" xfId="1" applyFont="1" applyBorder="1" applyAlignment="1">
      <alignment horizontal="center" vertical="center" wrapText="1"/>
    </xf>
    <xf numFmtId="4" fontId="18" fillId="3" borderId="8" xfId="1" applyNumberFormat="1" applyFont="1" applyFill="1" applyBorder="1" applyAlignment="1">
      <alignment horizontal="center" vertical="center"/>
    </xf>
    <xf numFmtId="4" fontId="18" fillId="3" borderId="4" xfId="1" applyNumberFormat="1" applyFont="1" applyFill="1" applyBorder="1" applyAlignment="1">
      <alignment horizontal="center" vertical="center"/>
    </xf>
    <xf numFmtId="4" fontId="18" fillId="10" borderId="4" xfId="1" applyNumberFormat="1" applyFont="1" applyFill="1" applyBorder="1" applyAlignment="1">
      <alignment horizontal="center" vertical="center"/>
    </xf>
    <xf numFmtId="4" fontId="18" fillId="10" borderId="112" xfId="1" applyNumberFormat="1" applyFont="1" applyFill="1" applyBorder="1" applyAlignment="1">
      <alignment horizontal="center" vertical="center"/>
    </xf>
    <xf numFmtId="164" fontId="35" fillId="3" borderId="0" xfId="0" applyNumberFormat="1" applyFont="1" applyFill="1" applyAlignment="1">
      <alignment vertical="center"/>
    </xf>
    <xf numFmtId="164" fontId="38" fillId="0" borderId="1" xfId="6" applyFont="1" applyBorder="1" applyAlignment="1">
      <alignment vertical="center"/>
    </xf>
    <xf numFmtId="164" fontId="36" fillId="0" borderId="1" xfId="6" applyFont="1" applyBorder="1" applyAlignment="1">
      <alignment horizontal="center" vertical="center"/>
    </xf>
    <xf numFmtId="172" fontId="39" fillId="0" borderId="25" xfId="0" applyNumberFormat="1" applyFont="1" applyBorder="1" applyAlignment="1">
      <alignment vertical="center"/>
    </xf>
    <xf numFmtId="172" fontId="39" fillId="0" borderId="24" xfId="0" applyNumberFormat="1" applyFont="1" applyBorder="1" applyAlignment="1">
      <alignment vertical="center"/>
    </xf>
    <xf numFmtId="172" fontId="39" fillId="0" borderId="1" xfId="0" applyNumberFormat="1" applyFont="1" applyBorder="1" applyAlignment="1">
      <alignment horizontal="center" vertical="center"/>
    </xf>
    <xf numFmtId="172" fontId="39" fillId="0" borderId="25" xfId="0" applyNumberFormat="1" applyFont="1" applyBorder="1" applyAlignment="1">
      <alignment horizontal="center" vertical="center"/>
    </xf>
    <xf numFmtId="164" fontId="39" fillId="0" borderId="1" xfId="6" applyFont="1" applyBorder="1" applyAlignment="1">
      <alignment horizontal="center" vertical="center"/>
    </xf>
    <xf numFmtId="172" fontId="36" fillId="8" borderId="1" xfId="0" applyNumberFormat="1" applyFont="1" applyFill="1" applyBorder="1" applyAlignment="1">
      <alignment horizontal="center" vertical="center"/>
    </xf>
    <xf numFmtId="172" fontId="36" fillId="8" borderId="1" xfId="0" applyNumberFormat="1" applyFont="1" applyFill="1" applyBorder="1" applyAlignment="1">
      <alignment vertical="center"/>
    </xf>
    <xf numFmtId="174" fontId="39" fillId="8" borderId="25" xfId="7" applyNumberFormat="1" applyFont="1" applyFill="1" applyBorder="1" applyAlignment="1">
      <alignment vertical="center"/>
    </xf>
    <xf numFmtId="164" fontId="36" fillId="8" borderId="1" xfId="3" applyFont="1" applyFill="1" applyBorder="1" applyAlignment="1">
      <alignment horizontal="center" vertical="center"/>
    </xf>
    <xf numFmtId="0" fontId="0" fillId="8" borderId="0" xfId="0" applyFill="1"/>
    <xf numFmtId="172" fontId="36" fillId="14" borderId="1" xfId="0" applyNumberFormat="1" applyFont="1" applyFill="1" applyBorder="1" applyAlignment="1">
      <alignment horizontal="center" vertical="center"/>
    </xf>
    <xf numFmtId="172" fontId="36" fillId="14" borderId="1" xfId="0" applyNumberFormat="1" applyFont="1" applyFill="1" applyBorder="1" applyAlignment="1">
      <alignment vertical="center"/>
    </xf>
    <xf numFmtId="174" fontId="39" fillId="14" borderId="25" xfId="7" applyNumberFormat="1" applyFont="1" applyFill="1" applyBorder="1" applyAlignment="1">
      <alignment vertical="center"/>
    </xf>
    <xf numFmtId="164" fontId="36" fillId="14" borderId="1" xfId="3" applyFont="1" applyFill="1" applyBorder="1" applyAlignment="1">
      <alignment horizontal="center" vertical="center"/>
    </xf>
    <xf numFmtId="0" fontId="0" fillId="14" borderId="0" xfId="0" applyFill="1"/>
    <xf numFmtId="172" fontId="39" fillId="8" borderId="1" xfId="0" applyNumberFormat="1" applyFont="1" applyFill="1" applyBorder="1" applyAlignment="1">
      <alignment horizontal="center" vertical="center"/>
    </xf>
    <xf numFmtId="172" fontId="41" fillId="8" borderId="1" xfId="0" applyNumberFormat="1" applyFont="1" applyFill="1" applyBorder="1" applyAlignment="1">
      <alignment vertical="center"/>
    </xf>
    <xf numFmtId="172" fontId="39" fillId="8" borderId="1" xfId="0" applyNumberFormat="1" applyFont="1" applyFill="1" applyBorder="1" applyAlignment="1">
      <alignment vertical="center"/>
    </xf>
    <xf numFmtId="174" fontId="39" fillId="8" borderId="25" xfId="0" applyNumberFormat="1" applyFont="1" applyFill="1" applyBorder="1" applyAlignment="1">
      <alignment vertical="center"/>
    </xf>
    <xf numFmtId="172" fontId="39" fillId="14" borderId="1" xfId="0" applyNumberFormat="1" applyFont="1" applyFill="1" applyBorder="1" applyAlignment="1">
      <alignment horizontal="center" vertical="center"/>
    </xf>
    <xf numFmtId="172" fontId="41" fillId="14" borderId="1" xfId="0" applyNumberFormat="1" applyFont="1" applyFill="1" applyBorder="1" applyAlignment="1">
      <alignment vertical="center"/>
    </xf>
    <xf numFmtId="172" fontId="39" fillId="14" borderId="1" xfId="0" applyNumberFormat="1" applyFont="1" applyFill="1" applyBorder="1" applyAlignment="1">
      <alignment vertical="center"/>
    </xf>
    <xf numFmtId="174" fontId="39" fillId="14" borderId="25" xfId="0" applyNumberFormat="1" applyFont="1" applyFill="1" applyBorder="1" applyAlignment="1">
      <alignment vertical="center"/>
    </xf>
    <xf numFmtId="172" fontId="36" fillId="0" borderId="1" xfId="0" applyNumberFormat="1" applyFont="1" applyBorder="1" applyAlignment="1">
      <alignment vertical="center"/>
    </xf>
    <xf numFmtId="181" fontId="36" fillId="8" borderId="1" xfId="3" applyNumberFormat="1" applyFont="1" applyFill="1" applyBorder="1" applyAlignment="1">
      <alignment horizontal="right" vertical="center"/>
    </xf>
    <xf numFmtId="181" fontId="36" fillId="8" borderId="25" xfId="3" applyNumberFormat="1" applyFont="1" applyFill="1" applyBorder="1" applyAlignment="1">
      <alignment horizontal="right" vertical="center"/>
    </xf>
    <xf numFmtId="181" fontId="36" fillId="14" borderId="1" xfId="3" applyNumberFormat="1" applyFont="1" applyFill="1" applyBorder="1" applyAlignment="1">
      <alignment horizontal="right" vertical="center"/>
    </xf>
    <xf numFmtId="181" fontId="36" fillId="14" borderId="25" xfId="3" applyNumberFormat="1" applyFont="1" applyFill="1" applyBorder="1" applyAlignment="1">
      <alignment horizontal="right" vertical="center"/>
    </xf>
    <xf numFmtId="164" fontId="41" fillId="8" borderId="1" xfId="3" applyFont="1" applyFill="1" applyBorder="1" applyAlignment="1">
      <alignment vertical="center"/>
    </xf>
    <xf numFmtId="181" fontId="39" fillId="8" borderId="1" xfId="0" applyNumberFormat="1" applyFont="1" applyFill="1" applyBorder="1" applyAlignment="1">
      <alignment horizontal="right" vertical="center"/>
    </xf>
    <xf numFmtId="164" fontId="41" fillId="14" borderId="1" xfId="3" applyFont="1" applyFill="1" applyBorder="1" applyAlignment="1">
      <alignment vertical="center"/>
    </xf>
    <xf numFmtId="181" fontId="39" fillId="14" borderId="1" xfId="0" applyNumberFormat="1" applyFont="1" applyFill="1" applyBorder="1" applyAlignment="1">
      <alignment horizontal="right" vertical="center"/>
    </xf>
    <xf numFmtId="168" fontId="36" fillId="8" borderId="1" xfId="6" applyNumberFormat="1" applyFont="1" applyFill="1" applyBorder="1" applyAlignment="1">
      <alignment horizontal="center" vertical="center"/>
    </xf>
    <xf numFmtId="164" fontId="37" fillId="8" borderId="1" xfId="3" applyFont="1" applyFill="1" applyBorder="1" applyAlignment="1">
      <alignment horizontal="center" vertical="center"/>
    </xf>
    <xf numFmtId="168" fontId="36" fillId="14" borderId="1" xfId="6" applyNumberFormat="1" applyFont="1" applyFill="1" applyBorder="1" applyAlignment="1">
      <alignment horizontal="center" vertical="center"/>
    </xf>
    <xf numFmtId="164" fontId="37" fillId="14" borderId="1" xfId="3" applyFont="1" applyFill="1" applyBorder="1" applyAlignment="1">
      <alignment horizontal="center" vertical="center"/>
    </xf>
    <xf numFmtId="181" fontId="39" fillId="14" borderId="25" xfId="7" applyNumberFormat="1" applyFont="1" applyFill="1" applyBorder="1" applyAlignment="1">
      <alignment vertical="center"/>
    </xf>
    <xf numFmtId="1" fontId="39" fillId="0" borderId="1" xfId="0" applyNumberFormat="1" applyFont="1" applyBorder="1" applyAlignment="1">
      <alignment horizontal="left" vertical="center"/>
    </xf>
    <xf numFmtId="164" fontId="36" fillId="8" borderId="1" xfId="3" applyFont="1" applyFill="1" applyBorder="1" applyAlignment="1">
      <alignment vertical="center"/>
    </xf>
    <xf numFmtId="181" fontId="36" fillId="8" borderId="1" xfId="0" applyNumberFormat="1" applyFont="1" applyFill="1" applyBorder="1" applyAlignment="1">
      <alignment horizontal="right" vertical="center"/>
    </xf>
    <xf numFmtId="181" fontId="39" fillId="8" borderId="1" xfId="7" applyNumberFormat="1" applyFont="1" applyFill="1" applyBorder="1" applyAlignment="1">
      <alignment horizontal="right" vertical="center"/>
    </xf>
    <xf numFmtId="164" fontId="36" fillId="14" borderId="1" xfId="3" applyFont="1" applyFill="1" applyBorder="1" applyAlignment="1">
      <alignment vertical="center"/>
    </xf>
    <xf numFmtId="181" fontId="36" fillId="14" borderId="1" xfId="0" applyNumberFormat="1" applyFont="1" applyFill="1" applyBorder="1" applyAlignment="1">
      <alignment horizontal="right" vertical="center"/>
    </xf>
    <xf numFmtId="181" fontId="39" fillId="14" borderId="1" xfId="7" applyNumberFormat="1" applyFont="1" applyFill="1" applyBorder="1" applyAlignment="1">
      <alignment horizontal="right" vertical="center"/>
    </xf>
    <xf numFmtId="168" fontId="36" fillId="0" borderId="1" xfId="6" applyNumberFormat="1" applyFont="1" applyBorder="1" applyAlignment="1">
      <alignment vertical="center"/>
    </xf>
    <xf numFmtId="164" fontId="36" fillId="0" borderId="0" xfId="3" applyFont="1" applyAlignment="1">
      <alignment vertical="center"/>
    </xf>
    <xf numFmtId="181" fontId="39" fillId="8" borderId="25" xfId="3" applyNumberFormat="1" applyFont="1" applyFill="1" applyBorder="1" applyAlignment="1">
      <alignment horizontal="right" vertical="center"/>
    </xf>
    <xf numFmtId="181" fontId="39" fillId="14" borderId="25" xfId="3" applyNumberFormat="1" applyFont="1" applyFill="1" applyBorder="1" applyAlignment="1">
      <alignment horizontal="right" vertical="center"/>
    </xf>
    <xf numFmtId="0" fontId="28" fillId="8" borderId="0" xfId="0" applyFont="1" applyFill="1"/>
    <xf numFmtId="0" fontId="28" fillId="14" borderId="0" xfId="0" applyFont="1" applyFill="1"/>
    <xf numFmtId="181" fontId="39" fillId="8" borderId="1" xfId="0" applyNumberFormat="1" applyFont="1" applyFill="1" applyBorder="1" applyAlignment="1">
      <alignment vertical="center"/>
    </xf>
    <xf numFmtId="181" fontId="39" fillId="8" borderId="1" xfId="3" applyNumberFormat="1" applyFont="1" applyFill="1" applyBorder="1" applyAlignment="1">
      <alignment horizontal="right" vertical="center"/>
    </xf>
    <xf numFmtId="181" fontId="36" fillId="14" borderId="1" xfId="3" applyNumberFormat="1" applyFont="1" applyFill="1" applyBorder="1" applyAlignment="1">
      <alignment horizontal="center" vertical="center"/>
    </xf>
    <xf numFmtId="181" fontId="39" fillId="14" borderId="1" xfId="3" applyNumberFormat="1" applyFont="1" applyFill="1" applyBorder="1" applyAlignment="1">
      <alignment horizontal="right" vertical="center"/>
    </xf>
    <xf numFmtId="164" fontId="37" fillId="0" borderId="0" xfId="3" applyFont="1" applyAlignment="1">
      <alignment horizontal="center" vertical="center"/>
    </xf>
    <xf numFmtId="181" fontId="36" fillId="0" borderId="0" xfId="3" applyNumberFormat="1" applyFont="1" applyAlignment="1">
      <alignment horizontal="center" vertical="center"/>
    </xf>
    <xf numFmtId="181" fontId="39" fillId="0" borderId="0" xfId="3" applyNumberFormat="1" applyFont="1" applyAlignment="1">
      <alignment horizontal="right" vertical="center"/>
    </xf>
    <xf numFmtId="181" fontId="36" fillId="8" borderId="1" xfId="0" applyNumberFormat="1" applyFont="1" applyFill="1" applyBorder="1" applyAlignment="1">
      <alignment vertical="center"/>
    </xf>
    <xf numFmtId="181" fontId="36" fillId="0" borderId="0" xfId="3" applyNumberFormat="1" applyFont="1" applyAlignment="1">
      <alignment horizontal="right" vertical="center"/>
    </xf>
    <xf numFmtId="172" fontId="37" fillId="14" borderId="1" xfId="0" applyNumberFormat="1" applyFont="1" applyFill="1" applyBorder="1" applyAlignment="1">
      <alignment vertical="center"/>
    </xf>
    <xf numFmtId="172" fontId="36" fillId="8" borderId="0" xfId="0" applyNumberFormat="1" applyFont="1" applyFill="1" applyAlignment="1">
      <alignment vertical="center"/>
    </xf>
    <xf numFmtId="172" fontId="36" fillId="8" borderId="0" xfId="0" applyNumberFormat="1" applyFont="1" applyFill="1" applyAlignment="1">
      <alignment horizontal="center" vertical="center"/>
    </xf>
    <xf numFmtId="172" fontId="37" fillId="8" borderId="0" xfId="0" applyNumberFormat="1" applyFont="1" applyFill="1" applyAlignment="1">
      <alignment vertical="center"/>
    </xf>
    <xf numFmtId="181" fontId="39" fillId="8" borderId="1" xfId="7" applyNumberFormat="1" applyFont="1" applyFill="1" applyBorder="1" applyAlignment="1">
      <alignment vertical="center"/>
    </xf>
    <xf numFmtId="172" fontId="36" fillId="14" borderId="0" xfId="0" applyNumberFormat="1" applyFont="1" applyFill="1" applyAlignment="1">
      <alignment vertical="center"/>
    </xf>
    <xf numFmtId="172" fontId="36" fillId="14" borderId="0" xfId="0" applyNumberFormat="1" applyFont="1" applyFill="1" applyAlignment="1">
      <alignment horizontal="center" vertical="center"/>
    </xf>
    <xf numFmtId="172" fontId="37" fillId="14" borderId="0" xfId="0" applyNumberFormat="1" applyFont="1" applyFill="1" applyAlignment="1">
      <alignment vertical="center"/>
    </xf>
    <xf numFmtId="181" fontId="39" fillId="14" borderId="1" xfId="7" applyNumberFormat="1" applyFont="1" applyFill="1" applyBorder="1" applyAlignment="1">
      <alignment vertical="center"/>
    </xf>
    <xf numFmtId="10" fontId="60" fillId="0" borderId="0" xfId="2" applyNumberFormat="1" applyFont="1" applyAlignment="1">
      <alignment horizontal="center" vertical="center"/>
    </xf>
    <xf numFmtId="10" fontId="61" fillId="0" borderId="0" xfId="2" applyNumberFormat="1" applyFont="1" applyAlignment="1">
      <alignment vertical="center"/>
    </xf>
    <xf numFmtId="9" fontId="62" fillId="0" borderId="0" xfId="2" applyFont="1" applyAlignment="1">
      <alignment vertical="center"/>
    </xf>
    <xf numFmtId="169" fontId="30" fillId="0" borderId="0" xfId="0" applyNumberFormat="1" applyFont="1" applyAlignment="1">
      <alignment horizontal="center" vertical="center"/>
    </xf>
    <xf numFmtId="0" fontId="61" fillId="0" borderId="0" xfId="0" applyFont="1" applyAlignment="1">
      <alignment vertical="center"/>
    </xf>
    <xf numFmtId="4" fontId="60" fillId="10" borderId="1" xfId="0" applyNumberFormat="1" applyFont="1" applyFill="1" applyBorder="1" applyAlignment="1">
      <alignment vertical="center"/>
    </xf>
    <xf numFmtId="4" fontId="60" fillId="10" borderId="5" xfId="0" applyNumberFormat="1" applyFont="1" applyFill="1" applyBorder="1" applyAlignment="1">
      <alignment vertical="center"/>
    </xf>
    <xf numFmtId="0" fontId="60" fillId="0" borderId="0" xfId="0" applyFont="1" applyAlignment="1">
      <alignment vertical="center"/>
    </xf>
    <xf numFmtId="0" fontId="60" fillId="0" borderId="4" xfId="0" applyFont="1" applyBorder="1" applyAlignment="1">
      <alignment vertical="center"/>
    </xf>
    <xf numFmtId="4" fontId="60" fillId="0" borderId="40" xfId="0" applyNumberFormat="1" applyFont="1" applyBorder="1" applyAlignment="1">
      <alignment horizontal="center" vertical="center"/>
    </xf>
    <xf numFmtId="4" fontId="60" fillId="3" borderId="9" xfId="0" applyNumberFormat="1" applyFont="1" applyFill="1" applyBorder="1" applyAlignment="1">
      <alignment horizontal="center" vertical="center"/>
    </xf>
    <xf numFmtId="4" fontId="60" fillId="3" borderId="10" xfId="0" applyNumberFormat="1" applyFont="1" applyFill="1" applyBorder="1" applyAlignment="1">
      <alignment horizontal="center" vertical="center"/>
    </xf>
    <xf numFmtId="4" fontId="60" fillId="3" borderId="24" xfId="0" applyNumberFormat="1" applyFont="1" applyFill="1" applyBorder="1" applyAlignment="1">
      <alignment horizontal="center" vertical="center"/>
    </xf>
    <xf numFmtId="4" fontId="60" fillId="3" borderId="1" xfId="0" applyNumberFormat="1" applyFont="1" applyFill="1" applyBorder="1" applyAlignment="1">
      <alignment horizontal="center" vertical="center"/>
    </xf>
    <xf numFmtId="4" fontId="60" fillId="3" borderId="5" xfId="0" applyNumberFormat="1" applyFont="1" applyFill="1" applyBorder="1" applyAlignment="1">
      <alignment horizontal="center" vertical="center"/>
    </xf>
    <xf numFmtId="4" fontId="60" fillId="10" borderId="24" xfId="0" applyNumberFormat="1" applyFont="1" applyFill="1" applyBorder="1" applyAlignment="1">
      <alignment horizontal="center" vertical="center"/>
    </xf>
    <xf numFmtId="4" fontId="60" fillId="10" borderId="1" xfId="0" applyNumberFormat="1" applyFont="1" applyFill="1" applyBorder="1" applyAlignment="1">
      <alignment horizontal="center" vertical="center"/>
    </xf>
    <xf numFmtId="4" fontId="60" fillId="10" borderId="5" xfId="0" applyNumberFormat="1" applyFont="1" applyFill="1" applyBorder="1" applyAlignment="1">
      <alignment horizontal="center" vertical="center"/>
    </xf>
    <xf numFmtId="164" fontId="61" fillId="0" borderId="0" xfId="3" applyFont="1" applyAlignment="1">
      <alignment horizontal="left" vertical="center"/>
    </xf>
    <xf numFmtId="4" fontId="60" fillId="3" borderId="1" xfId="0" applyNumberFormat="1" applyFont="1" applyFill="1" applyBorder="1" applyAlignment="1">
      <alignment vertical="center"/>
    </xf>
    <xf numFmtId="4" fontId="63" fillId="3" borderId="1" xfId="0" applyNumberFormat="1" applyFont="1" applyFill="1" applyBorder="1" applyAlignment="1">
      <alignment vertical="center"/>
    </xf>
    <xf numFmtId="4" fontId="64" fillId="3" borderId="1" xfId="0" applyNumberFormat="1" applyFont="1" applyFill="1" applyBorder="1" applyAlignment="1">
      <alignment vertical="center"/>
    </xf>
    <xf numFmtId="0" fontId="63" fillId="0" borderId="0" xfId="0" applyFont="1" applyAlignment="1">
      <alignment vertical="center"/>
    </xf>
    <xf numFmtId="0" fontId="26" fillId="0" borderId="4" xfId="0" applyFont="1" applyBorder="1" applyAlignment="1">
      <alignment vertical="center"/>
    </xf>
    <xf numFmtId="4" fontId="65" fillId="10" borderId="24" xfId="0" applyNumberFormat="1" applyFont="1" applyFill="1" applyBorder="1" applyAlignment="1">
      <alignment horizontal="center" vertical="center"/>
    </xf>
    <xf numFmtId="164" fontId="66" fillId="0" borderId="0" xfId="3" applyFont="1" applyAlignment="1">
      <alignment horizontal="left" vertical="center"/>
    </xf>
    <xf numFmtId="187" fontId="5" fillId="0" borderId="0" xfId="2" applyNumberFormat="1" applyFont="1" applyAlignment="1">
      <alignment vertical="center"/>
    </xf>
    <xf numFmtId="164" fontId="67" fillId="8" borderId="1" xfId="3" applyFont="1" applyFill="1" applyBorder="1" applyAlignment="1">
      <alignment horizontal="center" vertical="center"/>
    </xf>
    <xf numFmtId="172" fontId="70" fillId="0" borderId="0" xfId="0" applyNumberFormat="1" applyFont="1" applyAlignment="1">
      <alignment vertical="center"/>
    </xf>
    <xf numFmtId="4" fontId="71" fillId="0" borderId="0" xfId="0" applyNumberFormat="1" applyFont="1"/>
    <xf numFmtId="188" fontId="36" fillId="0" borderId="0" xfId="0" applyNumberFormat="1" applyFont="1" applyAlignment="1">
      <alignment vertical="center"/>
    </xf>
    <xf numFmtId="2" fontId="36" fillId="0" borderId="0" xfId="0" applyNumberFormat="1" applyFont="1" applyAlignment="1">
      <alignment vertical="center"/>
    </xf>
    <xf numFmtId="4" fontId="71" fillId="38" borderId="184" xfId="0" applyNumberFormat="1" applyFont="1" applyFill="1" applyBorder="1" applyAlignment="1">
      <alignment horizontal="center" vertical="center" wrapText="1"/>
    </xf>
    <xf numFmtId="0" fontId="71" fillId="15" borderId="174" xfId="0" applyFont="1" applyFill="1" applyBorder="1" applyAlignment="1">
      <alignment horizontal="center" vertical="center" wrapText="1"/>
    </xf>
    <xf numFmtId="0" fontId="71" fillId="0" borderId="174" xfId="0" applyFont="1" applyBorder="1" applyAlignment="1">
      <alignment horizontal="center" vertical="center" wrapText="1"/>
    </xf>
    <xf numFmtId="4" fontId="71" fillId="15" borderId="174" xfId="0" applyNumberFormat="1" applyFont="1" applyFill="1" applyBorder="1" applyAlignment="1">
      <alignment horizontal="center" vertical="center" wrapText="1"/>
    </xf>
    <xf numFmtId="4" fontId="71" fillId="0" borderId="174" xfId="0" applyNumberFormat="1" applyFont="1" applyBorder="1" applyAlignment="1">
      <alignment horizontal="center" vertical="center" wrapText="1"/>
    </xf>
    <xf numFmtId="0" fontId="71" fillId="15" borderId="174" xfId="0" applyFont="1" applyFill="1" applyBorder="1" applyAlignment="1">
      <alignment horizontal="right" vertical="center" wrapText="1"/>
    </xf>
    <xf numFmtId="4" fontId="71" fillId="38" borderId="184" xfId="0" applyNumberFormat="1" applyFont="1" applyFill="1" applyBorder="1" applyAlignment="1">
      <alignment horizontal="center" vertical="center"/>
    </xf>
    <xf numFmtId="4" fontId="71" fillId="15" borderId="174" xfId="0" applyNumberFormat="1" applyFont="1" applyFill="1" applyBorder="1" applyAlignment="1">
      <alignment horizontal="center" vertical="center"/>
    </xf>
    <xf numFmtId="4" fontId="71" fillId="0" borderId="174" xfId="0" applyNumberFormat="1" applyFont="1" applyBorder="1" applyAlignment="1">
      <alignment horizontal="center" vertical="center"/>
    </xf>
    <xf numFmtId="189" fontId="18" fillId="0" borderId="0" xfId="0" applyNumberFormat="1" applyFont="1" applyAlignment="1">
      <alignment horizontal="right" vertical="center"/>
    </xf>
    <xf numFmtId="0" fontId="62" fillId="0" borderId="0" xfId="0" applyFont="1" applyAlignment="1">
      <alignment vertical="center"/>
    </xf>
    <xf numFmtId="10" fontId="31" fillId="4" borderId="0" xfId="2" applyNumberFormat="1" applyFont="1" applyFill="1" applyBorder="1" applyAlignment="1">
      <alignment vertical="center"/>
    </xf>
    <xf numFmtId="10" fontId="32" fillId="4" borderId="0" xfId="2" applyNumberFormat="1" applyFont="1" applyFill="1" applyBorder="1" applyAlignment="1">
      <alignment vertical="center"/>
    </xf>
    <xf numFmtId="17" fontId="31" fillId="0" borderId="0" xfId="0" applyNumberFormat="1" applyFont="1" applyAlignment="1">
      <alignment vertical="center"/>
    </xf>
    <xf numFmtId="0" fontId="30" fillId="0" borderId="0" xfId="0" applyFont="1" applyAlignment="1">
      <alignment horizontal="center" vertical="center"/>
    </xf>
    <xf numFmtId="17" fontId="31" fillId="0" borderId="0" xfId="0" applyNumberFormat="1" applyFont="1" applyAlignment="1">
      <alignment horizontal="center" vertical="center"/>
    </xf>
    <xf numFmtId="9" fontId="62" fillId="0" borderId="185" xfId="2" applyFont="1" applyBorder="1" applyAlignment="1">
      <alignment vertical="center"/>
    </xf>
    <xf numFmtId="184" fontId="31" fillId="4" borderId="186" xfId="0" applyNumberFormat="1" applyFont="1" applyFill="1" applyBorder="1" applyAlignment="1">
      <alignment vertical="center"/>
    </xf>
    <xf numFmtId="10" fontId="32" fillId="4" borderId="185" xfId="2" applyNumberFormat="1" applyFont="1" applyFill="1" applyBorder="1" applyAlignment="1">
      <alignment vertical="center"/>
    </xf>
    <xf numFmtId="9" fontId="62" fillId="0" borderId="188" xfId="2" applyFont="1" applyBorder="1" applyAlignment="1">
      <alignment vertical="center"/>
    </xf>
    <xf numFmtId="9" fontId="62" fillId="0" borderId="189" xfId="2" applyFont="1" applyBorder="1" applyAlignment="1">
      <alignment vertical="center"/>
    </xf>
    <xf numFmtId="9" fontId="62" fillId="0" borderId="190" xfId="2" applyFont="1" applyBorder="1" applyAlignment="1">
      <alignment vertical="center"/>
    </xf>
    <xf numFmtId="184" fontId="31" fillId="4" borderId="100" xfId="0" applyNumberFormat="1" applyFont="1" applyFill="1" applyBorder="1" applyAlignment="1">
      <alignment vertical="center"/>
    </xf>
    <xf numFmtId="9" fontId="62" fillId="0" borderId="0" xfId="2" applyFont="1" applyBorder="1" applyAlignment="1">
      <alignment vertical="center"/>
    </xf>
    <xf numFmtId="10" fontId="31" fillId="4" borderId="191" xfId="2" applyNumberFormat="1" applyFont="1" applyFill="1" applyBorder="1" applyAlignment="1">
      <alignment vertical="center"/>
    </xf>
    <xf numFmtId="9" fontId="62" fillId="0" borderId="193" xfId="2" applyFont="1" applyBorder="1" applyAlignment="1">
      <alignment vertical="center"/>
    </xf>
    <xf numFmtId="10" fontId="90" fillId="0" borderId="193" xfId="2" applyNumberFormat="1" applyFont="1" applyBorder="1" applyAlignment="1">
      <alignment vertical="center"/>
    </xf>
    <xf numFmtId="10" fontId="31" fillId="4" borderId="195" xfId="2" applyNumberFormat="1" applyFont="1" applyFill="1" applyBorder="1" applyAlignment="1">
      <alignment vertical="center"/>
    </xf>
    <xf numFmtId="9" fontId="62" fillId="0" borderId="197" xfId="2" applyFont="1" applyBorder="1" applyAlignment="1">
      <alignment vertical="center"/>
    </xf>
    <xf numFmtId="10" fontId="31" fillId="4" borderId="198" xfId="2" applyNumberFormat="1" applyFont="1" applyFill="1" applyBorder="1" applyAlignment="1">
      <alignment vertical="center"/>
    </xf>
    <xf numFmtId="9" fontId="62" fillId="0" borderId="200" xfId="2" applyFont="1" applyBorder="1" applyAlignment="1">
      <alignment vertical="center"/>
    </xf>
    <xf numFmtId="17" fontId="62" fillId="0" borderId="0" xfId="0" applyNumberFormat="1" applyFont="1" applyAlignment="1">
      <alignment horizontal="center" vertical="center"/>
    </xf>
    <xf numFmtId="0" fontId="60" fillId="0" borderId="23" xfId="0" applyFont="1" applyBorder="1" applyAlignment="1">
      <alignment horizontal="center" vertical="center"/>
    </xf>
    <xf numFmtId="4" fontId="26" fillId="10" borderId="24" xfId="0" applyNumberFormat="1" applyFont="1" applyFill="1" applyBorder="1" applyAlignment="1">
      <alignment horizontal="center" vertical="center"/>
    </xf>
    <xf numFmtId="4" fontId="26" fillId="10" borderId="1" xfId="0" applyNumberFormat="1" applyFont="1" applyFill="1" applyBorder="1" applyAlignment="1">
      <alignment horizontal="center" vertical="center"/>
    </xf>
    <xf numFmtId="4" fontId="26" fillId="10" borderId="5" xfId="0" applyNumberFormat="1" applyFont="1" applyFill="1" applyBorder="1" applyAlignment="1">
      <alignment horizontal="center" vertical="center"/>
    </xf>
    <xf numFmtId="4" fontId="89" fillId="0" borderId="0" xfId="0" applyNumberFormat="1" applyFont="1" applyAlignment="1">
      <alignment horizontal="center" vertical="center"/>
    </xf>
    <xf numFmtId="164" fontId="91" fillId="0" borderId="0" xfId="3" applyFont="1" applyAlignment="1">
      <alignment horizontal="center" vertical="center"/>
    </xf>
    <xf numFmtId="10" fontId="33" fillId="0" borderId="0" xfId="2" applyNumberFormat="1" applyFont="1" applyAlignment="1">
      <alignment horizontal="center" vertical="center"/>
    </xf>
    <xf numFmtId="10" fontId="32" fillId="4" borderId="192" xfId="2" applyNumberFormat="1" applyFont="1" applyFill="1" applyBorder="1" applyAlignment="1">
      <alignment vertical="center"/>
    </xf>
    <xf numFmtId="10" fontId="32" fillId="4" borderId="196" xfId="2" applyNumberFormat="1" applyFont="1" applyFill="1" applyBorder="1" applyAlignment="1">
      <alignment vertical="center"/>
    </xf>
    <xf numFmtId="10" fontId="32" fillId="4" borderId="199" xfId="2" applyNumberFormat="1" applyFont="1" applyFill="1" applyBorder="1" applyAlignment="1">
      <alignment vertical="center"/>
    </xf>
    <xf numFmtId="10" fontId="93" fillId="21" borderId="175" xfId="73" applyNumberFormat="1" applyFont="1" applyAlignment="1">
      <alignment vertical="center"/>
    </xf>
    <xf numFmtId="0" fontId="94" fillId="0" borderId="0" xfId="0" applyFont="1"/>
    <xf numFmtId="164" fontId="94" fillId="0" borderId="0" xfId="3" applyFont="1"/>
    <xf numFmtId="0" fontId="95" fillId="0" borderId="0" xfId="0" applyFont="1"/>
    <xf numFmtId="0" fontId="95" fillId="0" borderId="0" xfId="0" applyFont="1" applyAlignment="1">
      <alignment horizontal="center" vertical="center"/>
    </xf>
    <xf numFmtId="0" fontId="95" fillId="0" borderId="1" xfId="0" applyFont="1" applyBorder="1" applyAlignment="1">
      <alignment horizontal="center" vertical="center"/>
    </xf>
    <xf numFmtId="164" fontId="95" fillId="0" borderId="1" xfId="0" applyNumberFormat="1" applyFont="1" applyBorder="1"/>
    <xf numFmtId="164" fontId="94" fillId="0" borderId="1" xfId="3" applyFont="1" applyBorder="1"/>
    <xf numFmtId="43" fontId="95" fillId="0" borderId="1" xfId="0" applyNumberFormat="1" applyFont="1" applyBorder="1"/>
    <xf numFmtId="43" fontId="94" fillId="0" borderId="1" xfId="0" applyNumberFormat="1" applyFont="1" applyBorder="1"/>
    <xf numFmtId="10" fontId="32" fillId="4" borderId="187" xfId="2" applyNumberFormat="1" applyFont="1" applyFill="1" applyBorder="1" applyAlignment="1">
      <alignment vertical="center"/>
    </xf>
    <xf numFmtId="0" fontId="95" fillId="0" borderId="1" xfId="0" applyFont="1" applyBorder="1" applyAlignment="1">
      <alignment horizontal="center"/>
    </xf>
    <xf numFmtId="0" fontId="95" fillId="0" borderId="1" xfId="0" applyFont="1" applyBorder="1" applyAlignment="1">
      <alignment horizontal="center" vertical="center"/>
    </xf>
    <xf numFmtId="0" fontId="95" fillId="0" borderId="25" xfId="0" applyFont="1" applyBorder="1" applyAlignment="1">
      <alignment horizontal="center"/>
    </xf>
    <xf numFmtId="0" fontId="95" fillId="0" borderId="24" xfId="0" applyFont="1" applyBorder="1" applyAlignment="1">
      <alignment horizontal="center"/>
    </xf>
    <xf numFmtId="10" fontId="92" fillId="39" borderId="0" xfId="2" applyNumberFormat="1" applyFont="1" applyFill="1" applyAlignment="1">
      <alignment horizontal="center" vertical="top" wrapText="1"/>
    </xf>
    <xf numFmtId="10" fontId="92" fillId="39" borderId="0" xfId="2" applyNumberFormat="1" applyFont="1" applyFill="1" applyAlignment="1">
      <alignment horizontal="center" vertical="top"/>
    </xf>
    <xf numFmtId="10" fontId="92" fillId="39" borderId="185" xfId="2" applyNumberFormat="1" applyFont="1" applyFill="1" applyBorder="1" applyAlignment="1">
      <alignment horizontal="center" vertical="top"/>
    </xf>
    <xf numFmtId="0" fontId="17" fillId="0" borderId="0" xfId="0" applyFont="1" applyAlignment="1">
      <alignment horizontal="center" vertical="center"/>
    </xf>
    <xf numFmtId="0" fontId="17" fillId="0" borderId="18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 wrapText="1"/>
    </xf>
    <xf numFmtId="0" fontId="17" fillId="0" borderId="15" xfId="0" applyFont="1" applyBorder="1" applyAlignment="1">
      <alignment horizontal="center" vertical="center" wrapText="1"/>
    </xf>
    <xf numFmtId="0" fontId="90" fillId="0" borderId="191" xfId="0" applyFont="1" applyBorder="1" applyAlignment="1">
      <alignment horizontal="center" vertical="center"/>
    </xf>
    <xf numFmtId="0" fontId="90" fillId="0" borderId="192" xfId="0" applyFont="1" applyBorder="1" applyAlignment="1">
      <alignment horizontal="center" vertical="center"/>
    </xf>
    <xf numFmtId="0" fontId="61" fillId="0" borderId="194" xfId="0" applyFont="1" applyBorder="1" applyAlignment="1">
      <alignment horizontal="center" vertical="center"/>
    </xf>
    <xf numFmtId="0" fontId="32" fillId="0" borderId="0" xfId="0" applyFont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4" fontId="60" fillId="0" borderId="0" xfId="0" applyNumberFormat="1" applyFont="1" applyAlignment="1">
      <alignment horizontal="center" vertical="center" wrapText="1"/>
    </xf>
    <xf numFmtId="0" fontId="20" fillId="0" borderId="13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0" fontId="20" fillId="0" borderId="21" xfId="0" applyFont="1" applyBorder="1" applyAlignment="1">
      <alignment horizontal="center" vertical="center"/>
    </xf>
    <xf numFmtId="0" fontId="20" fillId="0" borderId="30" xfId="0" applyFont="1" applyBorder="1" applyAlignment="1">
      <alignment horizontal="center" vertical="center"/>
    </xf>
    <xf numFmtId="0" fontId="20" fillId="0" borderId="18" xfId="0" applyFont="1" applyBorder="1" applyAlignment="1">
      <alignment horizontal="center" vertical="center" wrapText="1"/>
    </xf>
    <xf numFmtId="0" fontId="20" fillId="0" borderId="27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31" xfId="0" applyFont="1" applyBorder="1" applyAlignment="1">
      <alignment horizontal="center" vertical="center" wrapText="1"/>
    </xf>
    <xf numFmtId="0" fontId="20" fillId="0" borderId="32" xfId="0" applyFont="1" applyBorder="1" applyAlignment="1">
      <alignment horizontal="center" vertical="center" wrapText="1"/>
    </xf>
    <xf numFmtId="0" fontId="25" fillId="0" borderId="3" xfId="0" applyFont="1" applyBorder="1" applyAlignment="1" applyProtection="1">
      <alignment horizontal="center" vertical="center" wrapText="1"/>
      <protection hidden="1"/>
    </xf>
    <xf numFmtId="0" fontId="25" fillId="0" borderId="2" xfId="0" applyFont="1" applyBorder="1" applyAlignment="1" applyProtection="1">
      <alignment horizontal="center" vertical="center" wrapText="1"/>
      <protection hidden="1"/>
    </xf>
    <xf numFmtId="0" fontId="17" fillId="0" borderId="35" xfId="0" applyFont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 wrapText="1"/>
    </xf>
    <xf numFmtId="0" fontId="17" fillId="0" borderId="39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17" fillId="0" borderId="31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0" fontId="17" fillId="0" borderId="41" xfId="0" applyFont="1" applyBorder="1" applyAlignment="1">
      <alignment horizontal="center" vertical="center" wrapText="1"/>
    </xf>
    <xf numFmtId="0" fontId="17" fillId="0" borderId="42" xfId="0" applyFont="1" applyBorder="1" applyAlignment="1">
      <alignment horizontal="center" vertical="center" wrapText="1"/>
    </xf>
    <xf numFmtId="0" fontId="28" fillId="0" borderId="3" xfId="0" applyFont="1" applyBorder="1" applyAlignment="1" applyProtection="1">
      <alignment horizontal="center" vertical="center" wrapText="1"/>
      <protection hidden="1"/>
    </xf>
    <xf numFmtId="0" fontId="28" fillId="0" borderId="2" xfId="0" applyFont="1" applyBorder="1" applyAlignment="1" applyProtection="1">
      <alignment horizontal="center" vertical="center" wrapText="1"/>
      <protection hidden="1"/>
    </xf>
    <xf numFmtId="0" fontId="17" fillId="0" borderId="3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7" fillId="0" borderId="60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8" fillId="0" borderId="1" xfId="0" applyFont="1" applyBorder="1" applyAlignment="1" applyProtection="1">
      <alignment horizontal="center" vertical="center" wrapText="1"/>
      <protection hidden="1"/>
    </xf>
    <xf numFmtId="0" fontId="28" fillId="0" borderId="55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28" fillId="0" borderId="56" xfId="0" applyFont="1" applyBorder="1" applyAlignment="1" applyProtection="1">
      <alignment horizontal="center" vertical="center" wrapText="1"/>
      <protection hidden="1"/>
    </xf>
    <xf numFmtId="0" fontId="28" fillId="0" borderId="58" xfId="0" applyFont="1" applyBorder="1" applyAlignment="1" applyProtection="1">
      <alignment horizontal="center" vertical="center" wrapText="1"/>
      <protection hidden="1"/>
    </xf>
    <xf numFmtId="0" fontId="28" fillId="0" borderId="57" xfId="0" applyFont="1" applyBorder="1" applyAlignment="1" applyProtection="1">
      <alignment horizontal="center" vertical="center" wrapText="1"/>
      <protection hidden="1"/>
    </xf>
    <xf numFmtId="0" fontId="28" fillId="0" borderId="59" xfId="0" applyFont="1" applyBorder="1" applyAlignment="1" applyProtection="1">
      <alignment horizontal="center" vertical="center" wrapText="1"/>
      <protection hidden="1"/>
    </xf>
    <xf numFmtId="0" fontId="7" fillId="0" borderId="18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0" fontId="7" fillId="0" borderId="3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7" fillId="0" borderId="41" xfId="0" applyFont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21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 wrapText="1"/>
    </xf>
    <xf numFmtId="0" fontId="17" fillId="0" borderId="30" xfId="0" applyFont="1" applyBorder="1" applyAlignment="1">
      <alignment horizontal="center" vertical="center" wrapText="1"/>
    </xf>
    <xf numFmtId="2" fontId="17" fillId="6" borderId="1" xfId="0" applyNumberFormat="1" applyFont="1" applyFill="1" applyBorder="1" applyAlignment="1">
      <alignment horizontal="center" vertical="center" wrapText="1"/>
    </xf>
    <xf numFmtId="0" fontId="17" fillId="0" borderId="0" xfId="1" applyFont="1" applyAlignment="1">
      <alignment horizontal="left" vertical="center"/>
    </xf>
    <xf numFmtId="0" fontId="17" fillId="0" borderId="35" xfId="1" applyFont="1" applyBorder="1" applyAlignment="1">
      <alignment horizontal="center" vertical="center"/>
    </xf>
    <xf numFmtId="0" fontId="17" fillId="0" borderId="36" xfId="1" applyFont="1" applyBorder="1" applyAlignment="1">
      <alignment horizontal="center" vertical="center"/>
    </xf>
    <xf numFmtId="0" fontId="17" fillId="0" borderId="13" xfId="1" applyFont="1" applyBorder="1" applyAlignment="1">
      <alignment horizontal="center" vertical="center" wrapText="1"/>
    </xf>
    <xf numFmtId="0" fontId="17" fillId="0" borderId="15" xfId="1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/>
    </xf>
    <xf numFmtId="0" fontId="25" fillId="0" borderId="13" xfId="0" applyFont="1" applyBorder="1" applyAlignment="1">
      <alignment horizontal="center"/>
    </xf>
    <xf numFmtId="0" fontId="25" fillId="0" borderId="15" xfId="0" applyFont="1" applyBorder="1" applyAlignment="1">
      <alignment horizontal="center"/>
    </xf>
    <xf numFmtId="0" fontId="25" fillId="2" borderId="13" xfId="0" applyFont="1" applyFill="1" applyBorder="1" applyAlignment="1">
      <alignment horizontal="center"/>
    </xf>
    <xf numFmtId="0" fontId="25" fillId="2" borderId="14" xfId="0" applyFont="1" applyFill="1" applyBorder="1" applyAlignment="1">
      <alignment horizontal="center"/>
    </xf>
    <xf numFmtId="0" fontId="25" fillId="2" borderId="15" xfId="0" applyFont="1" applyFill="1" applyBorder="1" applyAlignment="1">
      <alignment horizontal="center"/>
    </xf>
    <xf numFmtId="0" fontId="17" fillId="0" borderId="39" xfId="0" applyFont="1" applyBorder="1" applyAlignment="1">
      <alignment horizontal="center" vertical="center"/>
    </xf>
    <xf numFmtId="0" fontId="28" fillId="2" borderId="13" xfId="0" applyFont="1" applyFill="1" applyBorder="1" applyAlignment="1">
      <alignment horizontal="center"/>
    </xf>
    <xf numFmtId="0" fontId="28" fillId="2" borderId="15" xfId="0" applyFont="1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25" fillId="2" borderId="12" xfId="0" applyFont="1" applyFill="1" applyBorder="1" applyAlignment="1">
      <alignment horizontal="center" vertical="center" wrapText="1"/>
    </xf>
    <xf numFmtId="0" fontId="25" fillId="2" borderId="65" xfId="0" applyFont="1" applyFill="1" applyBorder="1" applyAlignment="1">
      <alignment horizontal="center" vertical="center" wrapText="1"/>
    </xf>
    <xf numFmtId="0" fontId="25" fillId="2" borderId="16" xfId="0" applyFont="1" applyFill="1" applyBorder="1" applyAlignment="1">
      <alignment horizontal="center" vertical="center" wrapText="1"/>
    </xf>
    <xf numFmtId="0" fontId="25" fillId="4" borderId="67" xfId="0" applyFont="1" applyFill="1" applyBorder="1" applyAlignment="1">
      <alignment horizontal="center" vertical="center"/>
    </xf>
    <xf numFmtId="0" fontId="25" fillId="4" borderId="94" xfId="0" applyFont="1" applyFill="1" applyBorder="1" applyAlignment="1">
      <alignment horizontal="center" vertical="center"/>
    </xf>
    <xf numFmtId="0" fontId="25" fillId="4" borderId="95" xfId="0" applyFont="1" applyFill="1" applyBorder="1" applyAlignment="1">
      <alignment horizontal="center" vertical="center"/>
    </xf>
    <xf numFmtId="0" fontId="25" fillId="4" borderId="13" xfId="0" applyFont="1" applyFill="1" applyBorder="1" applyAlignment="1">
      <alignment horizontal="center" vertical="center"/>
    </xf>
    <xf numFmtId="0" fontId="25" fillId="4" borderId="14" xfId="0" applyFont="1" applyFill="1" applyBorder="1" applyAlignment="1">
      <alignment horizontal="center" vertical="center"/>
    </xf>
    <xf numFmtId="0" fontId="25" fillId="4" borderId="15" xfId="0" applyFont="1" applyFill="1" applyBorder="1" applyAlignment="1">
      <alignment horizontal="center" vertical="center"/>
    </xf>
    <xf numFmtId="0" fontId="17" fillId="0" borderId="69" xfId="0" applyFont="1" applyBorder="1" applyAlignment="1">
      <alignment horizontal="center" vertical="center" wrapText="1"/>
    </xf>
    <xf numFmtId="0" fontId="17" fillId="0" borderId="70" xfId="0" applyFont="1" applyBorder="1" applyAlignment="1">
      <alignment horizontal="center" vertical="center" wrapText="1"/>
    </xf>
    <xf numFmtId="0" fontId="46" fillId="0" borderId="0" xfId="0" applyFont="1" applyAlignment="1">
      <alignment horizontal="left" vertical="center"/>
    </xf>
    <xf numFmtId="0" fontId="20" fillId="0" borderId="21" xfId="0" applyFont="1" applyBorder="1" applyAlignment="1">
      <alignment horizontal="center" vertical="center" wrapText="1"/>
    </xf>
    <xf numFmtId="0" fontId="20" fillId="0" borderId="30" xfId="0" applyFont="1" applyBorder="1" applyAlignment="1">
      <alignment horizontal="center" vertical="center" wrapText="1"/>
    </xf>
    <xf numFmtId="164" fontId="37" fillId="0" borderId="3" xfId="3" applyFont="1" applyBorder="1" applyAlignment="1">
      <alignment horizontal="center" vertical="center"/>
    </xf>
    <xf numFmtId="164" fontId="37" fillId="0" borderId="2" xfId="3" applyFont="1" applyBorder="1" applyAlignment="1">
      <alignment horizontal="center" vertical="center"/>
    </xf>
    <xf numFmtId="4" fontId="43" fillId="0" borderId="3" xfId="8" applyNumberFormat="1" applyFont="1" applyBorder="1" applyAlignment="1">
      <alignment horizontal="center" vertical="center" wrapText="1"/>
    </xf>
    <xf numFmtId="4" fontId="43" fillId="0" borderId="2" xfId="8" applyNumberFormat="1" applyFont="1" applyBorder="1" applyAlignment="1">
      <alignment horizontal="center" vertical="center" wrapText="1"/>
    </xf>
    <xf numFmtId="168" fontId="36" fillId="0" borderId="3" xfId="6" applyNumberFormat="1" applyFont="1" applyBorder="1" applyAlignment="1">
      <alignment horizontal="center" vertical="center"/>
    </xf>
    <xf numFmtId="168" fontId="36" fillId="0" borderId="2" xfId="6" applyNumberFormat="1" applyFont="1" applyBorder="1" applyAlignment="1">
      <alignment horizontal="center" vertical="center"/>
    </xf>
    <xf numFmtId="1" fontId="39" fillId="0" borderId="3" xfId="0" applyNumberFormat="1" applyFont="1" applyBorder="1" applyAlignment="1">
      <alignment horizontal="center" vertical="center"/>
    </xf>
    <xf numFmtId="1" fontId="39" fillId="0" borderId="2" xfId="0" applyNumberFormat="1" applyFont="1" applyBorder="1" applyAlignment="1">
      <alignment horizontal="center" vertical="center"/>
    </xf>
    <xf numFmtId="172" fontId="39" fillId="0" borderId="3" xfId="0" applyNumberFormat="1" applyFont="1" applyBorder="1" applyAlignment="1">
      <alignment horizontal="center" vertical="center"/>
    </xf>
    <xf numFmtId="172" fontId="39" fillId="0" borderId="2" xfId="0" applyNumberFormat="1" applyFont="1" applyBorder="1" applyAlignment="1">
      <alignment horizontal="center" vertical="center"/>
    </xf>
    <xf numFmtId="37" fontId="40" fillId="0" borderId="3" xfId="0" applyNumberFormat="1" applyFont="1" applyBorder="1" applyAlignment="1">
      <alignment horizontal="center" vertical="center"/>
    </xf>
    <xf numFmtId="37" fontId="40" fillId="0" borderId="2" xfId="0" applyNumberFormat="1" applyFont="1" applyBorder="1" applyAlignment="1">
      <alignment horizontal="center" vertical="center"/>
    </xf>
    <xf numFmtId="172" fontId="31" fillId="0" borderId="3" xfId="0" applyNumberFormat="1" applyFont="1" applyBorder="1" applyAlignment="1">
      <alignment horizontal="center" vertical="center" wrapText="1"/>
    </xf>
    <xf numFmtId="172" fontId="31" fillId="0" borderId="2" xfId="0" applyNumberFormat="1" applyFont="1" applyBorder="1" applyAlignment="1">
      <alignment horizontal="center" vertical="center" wrapText="1"/>
    </xf>
    <xf numFmtId="172" fontId="36" fillId="0" borderId="3" xfId="0" applyNumberFormat="1" applyFont="1" applyBorder="1" applyAlignment="1">
      <alignment horizontal="center" vertical="center" wrapText="1"/>
    </xf>
    <xf numFmtId="172" fontId="36" fillId="0" borderId="2" xfId="0" applyNumberFormat="1" applyFont="1" applyBorder="1" applyAlignment="1">
      <alignment horizontal="center" vertical="center" wrapText="1"/>
    </xf>
    <xf numFmtId="172" fontId="36" fillId="0" borderId="3" xfId="0" applyNumberFormat="1" applyFont="1" applyBorder="1" applyAlignment="1">
      <alignment horizontal="center" vertical="center"/>
    </xf>
    <xf numFmtId="172" fontId="36" fillId="0" borderId="2" xfId="0" applyNumberFormat="1" applyFont="1" applyBorder="1" applyAlignment="1">
      <alignment horizontal="center" vertical="center"/>
    </xf>
    <xf numFmtId="164" fontId="36" fillId="0" borderId="3" xfId="3" applyFont="1" applyBorder="1" applyAlignment="1">
      <alignment horizontal="center" vertical="center"/>
    </xf>
    <xf numFmtId="164" fontId="36" fillId="0" borderId="2" xfId="3" applyFont="1" applyBorder="1" applyAlignment="1">
      <alignment horizontal="center" vertical="center"/>
    </xf>
    <xf numFmtId="172" fontId="53" fillId="0" borderId="39" xfId="0" applyNumberFormat="1" applyFont="1" applyBorder="1" applyAlignment="1">
      <alignment vertical="center"/>
    </xf>
    <xf numFmtId="164" fontId="53" fillId="0" borderId="13" xfId="6" applyFont="1" applyBorder="1" applyAlignment="1">
      <alignment vertical="center"/>
    </xf>
    <xf numFmtId="164" fontId="53" fillId="0" borderId="14" xfId="6" applyFont="1" applyBorder="1" applyAlignment="1">
      <alignment vertical="center"/>
    </xf>
    <xf numFmtId="164" fontId="53" fillId="0" borderId="15" xfId="6" applyFont="1" applyBorder="1" applyAlignment="1">
      <alignment vertical="center"/>
    </xf>
    <xf numFmtId="172" fontId="53" fillId="0" borderId="14" xfId="0" applyNumberFormat="1" applyFont="1" applyBorder="1" applyAlignment="1">
      <alignment vertical="center"/>
    </xf>
    <xf numFmtId="172" fontId="53" fillId="0" borderId="15" xfId="0" applyNumberFormat="1" applyFont="1" applyBorder="1" applyAlignment="1">
      <alignment vertical="center"/>
    </xf>
    <xf numFmtId="0" fontId="49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0" fontId="55" fillId="0" borderId="0" xfId="0" applyFont="1" applyAlignment="1">
      <alignment horizontal="left" vertical="center"/>
    </xf>
    <xf numFmtId="0" fontId="56" fillId="0" borderId="118" xfId="0" applyFont="1" applyBorder="1" applyAlignment="1">
      <alignment horizontal="center" vertical="center" wrapText="1"/>
    </xf>
    <xf numFmtId="0" fontId="56" fillId="0" borderId="24" xfId="0" applyFont="1" applyBorder="1" applyAlignment="1">
      <alignment horizontal="center" vertical="center" wrapText="1"/>
    </xf>
    <xf numFmtId="0" fontId="56" fillId="0" borderId="166" xfId="0" applyFont="1" applyBorder="1" applyAlignment="1">
      <alignment horizontal="center" vertical="center"/>
    </xf>
    <xf numFmtId="0" fontId="56" fillId="0" borderId="155" xfId="0" applyFont="1" applyBorder="1" applyAlignment="1">
      <alignment horizontal="center" vertical="center"/>
    </xf>
    <xf numFmtId="0" fontId="56" fillId="0" borderId="160" xfId="0" applyFont="1" applyBorder="1" applyAlignment="1">
      <alignment horizontal="center" vertical="center"/>
    </xf>
    <xf numFmtId="0" fontId="56" fillId="0" borderId="154" xfId="0" applyFont="1" applyBorder="1" applyAlignment="1">
      <alignment horizontal="center" vertical="center"/>
    </xf>
    <xf numFmtId="0" fontId="56" fillId="0" borderId="161" xfId="0" applyFont="1" applyBorder="1" applyAlignment="1">
      <alignment horizontal="center" vertical="center"/>
    </xf>
    <xf numFmtId="0" fontId="56" fillId="0" borderId="162" xfId="0" applyFont="1" applyBorder="1" applyAlignment="1">
      <alignment horizontal="center" vertical="center"/>
    </xf>
  </cellXfs>
  <cellStyles count="92">
    <cellStyle name="20% - Accent1" xfId="11" xr:uid="{00000000-0005-0000-0000-000000000000}"/>
    <cellStyle name="20% - Accent2" xfId="12" xr:uid="{00000000-0005-0000-0000-000001000000}"/>
    <cellStyle name="20% - Accent3" xfId="13" xr:uid="{00000000-0005-0000-0000-000002000000}"/>
    <cellStyle name="20% - Accent4" xfId="14" xr:uid="{00000000-0005-0000-0000-000003000000}"/>
    <cellStyle name="20% - Accent5" xfId="15" xr:uid="{00000000-0005-0000-0000-000004000000}"/>
    <cellStyle name="20% - Accent6" xfId="16" xr:uid="{00000000-0005-0000-0000-000005000000}"/>
    <cellStyle name="20% - Ênfase1 2" xfId="17" xr:uid="{00000000-0005-0000-0000-000006000000}"/>
    <cellStyle name="20% - Ênfase2 2" xfId="18" xr:uid="{00000000-0005-0000-0000-000007000000}"/>
    <cellStyle name="20% - Ênfase3 2" xfId="19" xr:uid="{00000000-0005-0000-0000-000008000000}"/>
    <cellStyle name="20% - Ênfase4 2" xfId="20" xr:uid="{00000000-0005-0000-0000-000009000000}"/>
    <cellStyle name="20% - Ênfase5 2" xfId="21" xr:uid="{00000000-0005-0000-0000-00000A000000}"/>
    <cellStyle name="20% - Ênfase6 2" xfId="22" xr:uid="{00000000-0005-0000-0000-00000B000000}"/>
    <cellStyle name="40% - Accent1" xfId="23" xr:uid="{00000000-0005-0000-0000-00000C000000}"/>
    <cellStyle name="40% - Accent2" xfId="24" xr:uid="{00000000-0005-0000-0000-00000D000000}"/>
    <cellStyle name="40% - Accent3" xfId="25" xr:uid="{00000000-0005-0000-0000-00000E000000}"/>
    <cellStyle name="40% - Accent4" xfId="26" xr:uid="{00000000-0005-0000-0000-00000F000000}"/>
    <cellStyle name="40% - Accent5" xfId="27" xr:uid="{00000000-0005-0000-0000-000010000000}"/>
    <cellStyle name="40% - Accent6" xfId="28" xr:uid="{00000000-0005-0000-0000-000011000000}"/>
    <cellStyle name="40% - Ênfase1 2" xfId="29" xr:uid="{00000000-0005-0000-0000-000012000000}"/>
    <cellStyle name="40% - Ênfase2 2" xfId="30" xr:uid="{00000000-0005-0000-0000-000013000000}"/>
    <cellStyle name="40% - Ênfase3 2" xfId="31" xr:uid="{00000000-0005-0000-0000-000014000000}"/>
    <cellStyle name="40% - Ênfase4 2" xfId="32" xr:uid="{00000000-0005-0000-0000-000015000000}"/>
    <cellStyle name="40% - Ênfase5 2" xfId="33" xr:uid="{00000000-0005-0000-0000-000016000000}"/>
    <cellStyle name="40% - Ênfase6 2" xfId="34" xr:uid="{00000000-0005-0000-0000-000017000000}"/>
    <cellStyle name="60% - Accent1" xfId="35" xr:uid="{00000000-0005-0000-0000-000018000000}"/>
    <cellStyle name="60% - Accent2" xfId="36" xr:uid="{00000000-0005-0000-0000-000019000000}"/>
    <cellStyle name="60% - Accent3" xfId="37" xr:uid="{00000000-0005-0000-0000-00001A000000}"/>
    <cellStyle name="60% - Accent4" xfId="38" xr:uid="{00000000-0005-0000-0000-00001B000000}"/>
    <cellStyle name="60% - Accent5" xfId="39" xr:uid="{00000000-0005-0000-0000-00001C000000}"/>
    <cellStyle name="60% - Accent6" xfId="40" xr:uid="{00000000-0005-0000-0000-00001D000000}"/>
    <cellStyle name="60% - Ênfase1 2" xfId="41" xr:uid="{00000000-0005-0000-0000-00001E000000}"/>
    <cellStyle name="60% - Ênfase2 2" xfId="42" xr:uid="{00000000-0005-0000-0000-00001F000000}"/>
    <cellStyle name="60% - Ênfase3 2" xfId="43" xr:uid="{00000000-0005-0000-0000-000020000000}"/>
    <cellStyle name="60% - Ênfase4 2" xfId="44" xr:uid="{00000000-0005-0000-0000-000021000000}"/>
    <cellStyle name="60% - Ênfase5 2" xfId="45" xr:uid="{00000000-0005-0000-0000-000022000000}"/>
    <cellStyle name="60% - Ênfase6 2" xfId="46" xr:uid="{00000000-0005-0000-0000-000023000000}"/>
    <cellStyle name="Accent1" xfId="47" xr:uid="{00000000-0005-0000-0000-000024000000}"/>
    <cellStyle name="Accent2" xfId="48" xr:uid="{00000000-0005-0000-0000-000025000000}"/>
    <cellStyle name="Accent3" xfId="49" xr:uid="{00000000-0005-0000-0000-000026000000}"/>
    <cellStyle name="Accent4" xfId="50" xr:uid="{00000000-0005-0000-0000-000027000000}"/>
    <cellStyle name="Accent5" xfId="51" xr:uid="{00000000-0005-0000-0000-000028000000}"/>
    <cellStyle name="Accent6" xfId="52" xr:uid="{00000000-0005-0000-0000-000029000000}"/>
    <cellStyle name="Bad" xfId="53" xr:uid="{00000000-0005-0000-0000-00002A000000}"/>
    <cellStyle name="Bom 2" xfId="54" xr:uid="{00000000-0005-0000-0000-00002B000000}"/>
    <cellStyle name="Calculation" xfId="55" xr:uid="{00000000-0005-0000-0000-00002C000000}"/>
    <cellStyle name="Cálculo 2" xfId="56" xr:uid="{00000000-0005-0000-0000-00002D000000}"/>
    <cellStyle name="Célula de Verificação 2" xfId="57" xr:uid="{00000000-0005-0000-0000-00002E000000}"/>
    <cellStyle name="Célula Vinculada 2" xfId="58" xr:uid="{00000000-0005-0000-0000-00002F000000}"/>
    <cellStyle name="Check Cell" xfId="59" xr:uid="{00000000-0005-0000-0000-000030000000}"/>
    <cellStyle name="Ênfase1 2" xfId="60" xr:uid="{00000000-0005-0000-0000-000031000000}"/>
    <cellStyle name="Ênfase2 2" xfId="61" xr:uid="{00000000-0005-0000-0000-000032000000}"/>
    <cellStyle name="Ênfase3 2" xfId="62" xr:uid="{00000000-0005-0000-0000-000033000000}"/>
    <cellStyle name="Ênfase4 2" xfId="63" xr:uid="{00000000-0005-0000-0000-000034000000}"/>
    <cellStyle name="Ênfase5 2" xfId="64" xr:uid="{00000000-0005-0000-0000-000035000000}"/>
    <cellStyle name="Ênfase6 2" xfId="65" xr:uid="{00000000-0005-0000-0000-000036000000}"/>
    <cellStyle name="Entrada 2" xfId="66" xr:uid="{00000000-0005-0000-0000-000037000000}"/>
    <cellStyle name="Explanatory Text" xfId="67" xr:uid="{00000000-0005-0000-0000-000038000000}"/>
    <cellStyle name="Good" xfId="68" xr:uid="{00000000-0005-0000-0000-000039000000}"/>
    <cellStyle name="Heading 1" xfId="69" xr:uid="{00000000-0005-0000-0000-00003A000000}"/>
    <cellStyle name="Heading 2" xfId="70" xr:uid="{00000000-0005-0000-0000-00003B000000}"/>
    <cellStyle name="Heading 3" xfId="71" xr:uid="{00000000-0005-0000-0000-00003C000000}"/>
    <cellStyle name="Heading 4" xfId="72" xr:uid="{00000000-0005-0000-0000-00003D000000}"/>
    <cellStyle name="Input" xfId="73" xr:uid="{00000000-0005-0000-0000-00003E000000}"/>
    <cellStyle name="Linked Cell" xfId="74" xr:uid="{00000000-0005-0000-0000-00003F000000}"/>
    <cellStyle name="Moeda" xfId="5" builtinId="4"/>
    <cellStyle name="Moeda 5 2" xfId="7" xr:uid="{00000000-0005-0000-0000-000041000000}"/>
    <cellStyle name="Neutral" xfId="75" xr:uid="{00000000-0005-0000-0000-000042000000}"/>
    <cellStyle name="Normal" xfId="0" builtinId="0"/>
    <cellStyle name="Normal 10 2" xfId="8" xr:uid="{00000000-0005-0000-0000-000044000000}"/>
    <cellStyle name="Normal 2" xfId="1" xr:uid="{00000000-0005-0000-0000-000045000000}"/>
    <cellStyle name="Normal 3" xfId="90" xr:uid="{98E9EC6E-43BC-441D-9029-15723A4C404B}"/>
    <cellStyle name="Normal 9" xfId="4" xr:uid="{00000000-0005-0000-0000-000046000000}"/>
    <cellStyle name="Normal_TIR20_20anos" xfId="9" xr:uid="{00000000-0005-0000-0000-000048000000}"/>
    <cellStyle name="Nota 2" xfId="76" xr:uid="{00000000-0005-0000-0000-000049000000}"/>
    <cellStyle name="Note" xfId="77" xr:uid="{00000000-0005-0000-0000-00004A000000}"/>
    <cellStyle name="Output" xfId="78" xr:uid="{00000000-0005-0000-0000-00004B000000}"/>
    <cellStyle name="Porcentagem" xfId="2" builtinId="5"/>
    <cellStyle name="Porcentagem 2" xfId="91" xr:uid="{6AC05F86-D5FB-4CC0-AC8D-C10298260F19}"/>
    <cellStyle name="Saída 2" xfId="79" xr:uid="{00000000-0005-0000-0000-00004D000000}"/>
    <cellStyle name="Separador de milhares 2" xfId="6" xr:uid="{00000000-0005-0000-0000-00004E000000}"/>
    <cellStyle name="Texto de Aviso 2" xfId="80" xr:uid="{00000000-0005-0000-0000-00004F000000}"/>
    <cellStyle name="Texto Explicativo 2" xfId="81" xr:uid="{00000000-0005-0000-0000-000050000000}"/>
    <cellStyle name="Title" xfId="82" xr:uid="{00000000-0005-0000-0000-000051000000}"/>
    <cellStyle name="Título 1 2" xfId="84" xr:uid="{00000000-0005-0000-0000-000052000000}"/>
    <cellStyle name="Título 2 2" xfId="85" xr:uid="{00000000-0005-0000-0000-000053000000}"/>
    <cellStyle name="Título 3 2" xfId="86" xr:uid="{00000000-0005-0000-0000-000054000000}"/>
    <cellStyle name="Título 4 2" xfId="87" xr:uid="{00000000-0005-0000-0000-000055000000}"/>
    <cellStyle name="Título 5" xfId="83" xr:uid="{00000000-0005-0000-0000-000056000000}"/>
    <cellStyle name="Total 2" xfId="88" xr:uid="{00000000-0005-0000-0000-000057000000}"/>
    <cellStyle name="Vírgula" xfId="3" builtinId="3"/>
    <cellStyle name="Vírgula 3" xfId="10" xr:uid="{00000000-0005-0000-0000-000059000000}"/>
    <cellStyle name="Warning Text" xfId="89" xr:uid="{00000000-0005-0000-0000-00005A000000}"/>
  </cellStyles>
  <dxfs count="6"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bgColor rgb="FFFF0000"/>
        </patternFill>
      </fill>
    </dxf>
    <dxf>
      <font>
        <color rgb="FFFF0000"/>
      </font>
      <fill>
        <patternFill>
          <fgColor rgb="FFFF0000"/>
          <bgColor rgb="FFFFC7CE"/>
        </patternFill>
      </fill>
    </dxf>
  </dxfs>
  <tableStyles count="0" defaultTableStyle="TableStyleMedium9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Curva de Acessibilidade Social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'TS-13 R1 FAT 1'!$S$4</c:f>
              <c:strCache>
                <c:ptCount val="1"/>
                <c:pt idx="0">
                  <c:v>ACESSO A RES. SOCIAL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'TS-13 R1 FAT 1'!$S$5:$S$36</c:f>
              <c:numCache>
                <c:formatCode>0%</c:formatCode>
                <c:ptCount val="3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0.4</c:v>
                </c:pt>
                <c:pt idx="5">
                  <c:v>0.5</c:v>
                </c:pt>
                <c:pt idx="6">
                  <c:v>0.6</c:v>
                </c:pt>
                <c:pt idx="7">
                  <c:v>0.7</c:v>
                </c:pt>
                <c:pt idx="8">
                  <c:v>0.7</c:v>
                </c:pt>
                <c:pt idx="10">
                  <c:v>0.56666666666666676</c:v>
                </c:pt>
                <c:pt idx="12">
                  <c:v>0.6</c:v>
                </c:pt>
                <c:pt idx="13">
                  <c:v>0.6</c:v>
                </c:pt>
                <c:pt idx="14">
                  <c:v>0.6</c:v>
                </c:pt>
                <c:pt idx="15">
                  <c:v>0.6</c:v>
                </c:pt>
                <c:pt idx="16">
                  <c:v>0.6</c:v>
                </c:pt>
                <c:pt idx="17">
                  <c:v>0.6</c:v>
                </c:pt>
                <c:pt idx="18">
                  <c:v>0.6</c:v>
                </c:pt>
                <c:pt idx="19">
                  <c:v>0.6</c:v>
                </c:pt>
                <c:pt idx="20">
                  <c:v>0.6</c:v>
                </c:pt>
                <c:pt idx="21">
                  <c:v>0.6</c:v>
                </c:pt>
                <c:pt idx="22">
                  <c:v>0.6</c:v>
                </c:pt>
                <c:pt idx="23">
                  <c:v>0.6</c:v>
                </c:pt>
                <c:pt idx="24">
                  <c:v>0.6</c:v>
                </c:pt>
                <c:pt idx="25">
                  <c:v>0.6</c:v>
                </c:pt>
                <c:pt idx="26">
                  <c:v>0.6</c:v>
                </c:pt>
                <c:pt idx="27">
                  <c:v>0.6</c:v>
                </c:pt>
                <c:pt idx="28">
                  <c:v>0.6</c:v>
                </c:pt>
                <c:pt idx="29">
                  <c:v>0.6</c:v>
                </c:pt>
                <c:pt idx="30">
                  <c:v>0.6</c:v>
                </c:pt>
                <c:pt idx="31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91-4926-BFF1-1C193E2E38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95768792"/>
        <c:axId val="295768008"/>
      </c:barChart>
      <c:catAx>
        <c:axId val="295768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Anos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95768008"/>
        <c:crosses val="autoZero"/>
        <c:auto val="1"/>
        <c:lblAlgn val="ctr"/>
        <c:lblOffset val="100"/>
        <c:noMultiLvlLbl val="0"/>
      </c:catAx>
      <c:valAx>
        <c:axId val="2957680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95768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PAINEL!A1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PAINEL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161925</xdr:colOff>
      <xdr:row>0</xdr:row>
      <xdr:rowOff>347662</xdr:rowOff>
    </xdr:from>
    <xdr:to>
      <xdr:col>39</xdr:col>
      <xdr:colOff>276225</xdr:colOff>
      <xdr:row>10</xdr:row>
      <xdr:rowOff>71437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09E7774-B886-44F5-9DE6-C490B638577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28575</xdr:colOff>
      <xdr:row>4</xdr:row>
      <xdr:rowOff>95250</xdr:rowOff>
    </xdr:from>
    <xdr:to>
      <xdr:col>11</xdr:col>
      <xdr:colOff>277177</xdr:colOff>
      <xdr:row>7</xdr:row>
      <xdr:rowOff>199072</xdr:rowOff>
    </xdr:to>
    <xdr:sp macro="" textlink="">
      <xdr:nvSpPr>
        <xdr:cNvPr id="4" name="Seta: para a Esquerda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E78B9EB-3CA9-46B2-9747-E419B5E06B0A}"/>
            </a:ext>
          </a:extLst>
        </xdr:cNvPr>
        <xdr:cNvSpPr/>
      </xdr:nvSpPr>
      <xdr:spPr>
        <a:xfrm>
          <a:off x="7867650" y="1552575"/>
          <a:ext cx="1220152" cy="84677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  <xdr:twoCellAnchor>
    <xdr:from>
      <xdr:col>16</xdr:col>
      <xdr:colOff>800100</xdr:colOff>
      <xdr:row>6</xdr:row>
      <xdr:rowOff>161925</xdr:rowOff>
    </xdr:from>
    <xdr:to>
      <xdr:col>17</xdr:col>
      <xdr:colOff>219075</xdr:colOff>
      <xdr:row>8</xdr:row>
      <xdr:rowOff>133350</xdr:rowOff>
    </xdr:to>
    <xdr:sp macro="" textlink="">
      <xdr:nvSpPr>
        <xdr:cNvPr id="3" name="Seta: para Baixo 2">
          <a:extLst>
            <a:ext uri="{FF2B5EF4-FFF2-40B4-BE49-F238E27FC236}">
              <a16:creationId xmlns:a16="http://schemas.microsoft.com/office/drawing/2014/main" id="{5AAC840A-D213-DB0E-B3A9-A4D5355BB5C1}"/>
            </a:ext>
          </a:extLst>
        </xdr:cNvPr>
        <xdr:cNvSpPr/>
      </xdr:nvSpPr>
      <xdr:spPr>
        <a:xfrm>
          <a:off x="14325600" y="2200275"/>
          <a:ext cx="400050" cy="485775"/>
        </a:xfrm>
        <a:prstGeom prst="downArrow">
          <a:avLst/>
        </a:prstGeom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t-BR" sz="1100" kern="12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8</xdr:row>
      <xdr:rowOff>0</xdr:rowOff>
    </xdr:from>
    <xdr:to>
      <xdr:col>11</xdr:col>
      <xdr:colOff>113347</xdr:colOff>
      <xdr:row>11</xdr:row>
      <xdr:rowOff>100012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39D2793-F1EB-4564-875D-118336BB34E7}"/>
            </a:ext>
          </a:extLst>
        </xdr:cNvPr>
        <xdr:cNvSpPr/>
      </xdr:nvSpPr>
      <xdr:spPr>
        <a:xfrm>
          <a:off x="8477250" y="2476500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</xdr:row>
      <xdr:rowOff>0</xdr:rowOff>
    </xdr:from>
    <xdr:to>
      <xdr:col>12</xdr:col>
      <xdr:colOff>265747</xdr:colOff>
      <xdr:row>4</xdr:row>
      <xdr:rowOff>14287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389AE17-8EA5-4F80-AF02-AB2A8637195C}"/>
            </a:ext>
          </a:extLst>
        </xdr:cNvPr>
        <xdr:cNvSpPr/>
      </xdr:nvSpPr>
      <xdr:spPr>
        <a:xfrm>
          <a:off x="10153650" y="657225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1</xdr:row>
      <xdr:rowOff>0</xdr:rowOff>
    </xdr:from>
    <xdr:to>
      <xdr:col>19</xdr:col>
      <xdr:colOff>427672</xdr:colOff>
      <xdr:row>5</xdr:row>
      <xdr:rowOff>147637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3DF6DF5-F180-44E5-A36C-32C629992B52}"/>
            </a:ext>
          </a:extLst>
        </xdr:cNvPr>
        <xdr:cNvSpPr/>
      </xdr:nvSpPr>
      <xdr:spPr>
        <a:xfrm>
          <a:off x="11182350" y="180975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1</xdr:row>
      <xdr:rowOff>0</xdr:rowOff>
    </xdr:from>
    <xdr:to>
      <xdr:col>20</xdr:col>
      <xdr:colOff>432434</xdr:colOff>
      <xdr:row>2</xdr:row>
      <xdr:rowOff>307181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CA4F272-597C-4C73-8C86-9DE03851BB56}"/>
            </a:ext>
          </a:extLst>
        </xdr:cNvPr>
        <xdr:cNvSpPr/>
      </xdr:nvSpPr>
      <xdr:spPr>
        <a:xfrm>
          <a:off x="18966656" y="619125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2</xdr:row>
      <xdr:rowOff>0</xdr:rowOff>
    </xdr:from>
    <xdr:to>
      <xdr:col>23</xdr:col>
      <xdr:colOff>360997</xdr:colOff>
      <xdr:row>5</xdr:row>
      <xdr:rowOff>152400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B81F01A-9B58-4817-92F8-AF39C0AC9AB2}"/>
            </a:ext>
          </a:extLst>
        </xdr:cNvPr>
        <xdr:cNvSpPr/>
      </xdr:nvSpPr>
      <xdr:spPr>
        <a:xfrm>
          <a:off x="16644938" y="404813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0</xdr:colOff>
      <xdr:row>2</xdr:row>
      <xdr:rowOff>0</xdr:rowOff>
    </xdr:from>
    <xdr:to>
      <xdr:col>40</xdr:col>
      <xdr:colOff>360997</xdr:colOff>
      <xdr:row>4</xdr:row>
      <xdr:rowOff>12926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4419ED2-D9CC-4EEE-9167-72D1D354897E}"/>
            </a:ext>
          </a:extLst>
        </xdr:cNvPr>
        <xdr:cNvSpPr/>
      </xdr:nvSpPr>
      <xdr:spPr>
        <a:xfrm>
          <a:off x="30235071" y="898071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14</xdr:col>
      <xdr:colOff>427672</xdr:colOff>
      <xdr:row>3</xdr:row>
      <xdr:rowOff>233362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316DB38-D1C5-4C8D-8596-64527BD098B3}"/>
            </a:ext>
          </a:extLst>
        </xdr:cNvPr>
        <xdr:cNvSpPr/>
      </xdr:nvSpPr>
      <xdr:spPr>
        <a:xfrm>
          <a:off x="6953250" y="628650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13</xdr:col>
      <xdr:colOff>427672</xdr:colOff>
      <xdr:row>3</xdr:row>
      <xdr:rowOff>233362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AA101C7-59DD-4054-81A3-73D5E3BD144D}"/>
            </a:ext>
          </a:extLst>
        </xdr:cNvPr>
        <xdr:cNvSpPr/>
      </xdr:nvSpPr>
      <xdr:spPr>
        <a:xfrm>
          <a:off x="6953250" y="628650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2</xdr:row>
      <xdr:rowOff>0</xdr:rowOff>
    </xdr:from>
    <xdr:to>
      <xdr:col>13</xdr:col>
      <xdr:colOff>427672</xdr:colOff>
      <xdr:row>3</xdr:row>
      <xdr:rowOff>233362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62E5739-47F8-4AA5-B83E-C29010FF9A97}"/>
            </a:ext>
          </a:extLst>
        </xdr:cNvPr>
        <xdr:cNvSpPr/>
      </xdr:nvSpPr>
      <xdr:spPr>
        <a:xfrm>
          <a:off x="6953250" y="628650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11</xdr:col>
      <xdr:colOff>427672</xdr:colOff>
      <xdr:row>3</xdr:row>
      <xdr:rowOff>233362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08870F4-6F26-4999-9B6D-B7552904E22D}"/>
            </a:ext>
          </a:extLst>
        </xdr:cNvPr>
        <xdr:cNvSpPr/>
      </xdr:nvSpPr>
      <xdr:spPr>
        <a:xfrm>
          <a:off x="8639175" y="628650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361950</xdr:colOff>
      <xdr:row>8</xdr:row>
      <xdr:rowOff>104775</xdr:rowOff>
    </xdr:from>
    <xdr:to>
      <xdr:col>1</xdr:col>
      <xdr:colOff>616267</xdr:colOff>
      <xdr:row>13</xdr:row>
      <xdr:rowOff>92392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06B8849-E4AA-4042-A8EE-D46CDEB0E1C8}"/>
            </a:ext>
          </a:extLst>
        </xdr:cNvPr>
        <xdr:cNvSpPr/>
      </xdr:nvSpPr>
      <xdr:spPr>
        <a:xfrm>
          <a:off x="361950" y="1476375"/>
          <a:ext cx="1216342" cy="844867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3</xdr:row>
      <xdr:rowOff>0</xdr:rowOff>
    </xdr:from>
    <xdr:to>
      <xdr:col>16</xdr:col>
      <xdr:colOff>589597</xdr:colOff>
      <xdr:row>6</xdr:row>
      <xdr:rowOff>71437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B2B0CC0-67CC-4EB9-84D9-8D148ED6486E}"/>
            </a:ext>
          </a:extLst>
        </xdr:cNvPr>
        <xdr:cNvSpPr/>
      </xdr:nvSpPr>
      <xdr:spPr>
        <a:xfrm>
          <a:off x="12192000" y="571500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</xdr:row>
      <xdr:rowOff>0</xdr:rowOff>
    </xdr:from>
    <xdr:to>
      <xdr:col>12</xdr:col>
      <xdr:colOff>604414</xdr:colOff>
      <xdr:row>5</xdr:row>
      <xdr:rowOff>144462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E1D5928-1944-45DC-B933-893EECDB8678}"/>
            </a:ext>
          </a:extLst>
        </xdr:cNvPr>
        <xdr:cNvSpPr/>
      </xdr:nvSpPr>
      <xdr:spPr>
        <a:xfrm>
          <a:off x="9715500" y="486833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3</xdr:row>
      <xdr:rowOff>0</xdr:rowOff>
    </xdr:from>
    <xdr:to>
      <xdr:col>13</xdr:col>
      <xdr:colOff>427672</xdr:colOff>
      <xdr:row>5</xdr:row>
      <xdr:rowOff>128587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032BB2-0839-4DC9-B8D9-F5DEED332667}"/>
            </a:ext>
          </a:extLst>
        </xdr:cNvPr>
        <xdr:cNvSpPr/>
      </xdr:nvSpPr>
      <xdr:spPr>
        <a:xfrm>
          <a:off x="6391275" y="809625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1</xdr:row>
      <xdr:rowOff>0</xdr:rowOff>
    </xdr:from>
    <xdr:to>
      <xdr:col>16</xdr:col>
      <xdr:colOff>427672</xdr:colOff>
      <xdr:row>4</xdr:row>
      <xdr:rowOff>128587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62BC52-E17C-467F-B49A-2B5A2CD278DE}"/>
            </a:ext>
          </a:extLst>
        </xdr:cNvPr>
        <xdr:cNvSpPr/>
      </xdr:nvSpPr>
      <xdr:spPr>
        <a:xfrm>
          <a:off x="13049250" y="476250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693964</xdr:colOff>
      <xdr:row>3</xdr:row>
      <xdr:rowOff>13607</xdr:rowOff>
    </xdr:from>
    <xdr:to>
      <xdr:col>4</xdr:col>
      <xdr:colOff>1017950</xdr:colOff>
      <xdr:row>7</xdr:row>
      <xdr:rowOff>147093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07F8A99-23CD-4645-8559-63091CAB6A9F}"/>
            </a:ext>
          </a:extLst>
        </xdr:cNvPr>
        <xdr:cNvSpPr/>
      </xdr:nvSpPr>
      <xdr:spPr>
        <a:xfrm>
          <a:off x="4109357" y="571500"/>
          <a:ext cx="1222057" cy="841057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2333625</xdr:colOff>
      <xdr:row>0</xdr:row>
      <xdr:rowOff>178595</xdr:rowOff>
    </xdr:from>
    <xdr:to>
      <xdr:col>2</xdr:col>
      <xdr:colOff>3551872</xdr:colOff>
      <xdr:row>4</xdr:row>
      <xdr:rowOff>9526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360046-D594-4410-81B6-5D161A3D16F9}"/>
            </a:ext>
          </a:extLst>
        </xdr:cNvPr>
        <xdr:cNvSpPr/>
      </xdr:nvSpPr>
      <xdr:spPr>
        <a:xfrm>
          <a:off x="2869406" y="178595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2</xdr:row>
      <xdr:rowOff>0</xdr:rowOff>
    </xdr:from>
    <xdr:to>
      <xdr:col>25</xdr:col>
      <xdr:colOff>589597</xdr:colOff>
      <xdr:row>5</xdr:row>
      <xdr:rowOff>100012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662D84D-68B5-4CC2-A230-64618E9F306D}"/>
            </a:ext>
          </a:extLst>
        </xdr:cNvPr>
        <xdr:cNvSpPr/>
      </xdr:nvSpPr>
      <xdr:spPr>
        <a:xfrm>
          <a:off x="14697075" y="419100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3</xdr:row>
      <xdr:rowOff>0</xdr:rowOff>
    </xdr:from>
    <xdr:to>
      <xdr:col>11</xdr:col>
      <xdr:colOff>284797</xdr:colOff>
      <xdr:row>6</xdr:row>
      <xdr:rowOff>119062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9D374A5-6EB1-44B7-8AD3-9145E30D053E}"/>
            </a:ext>
          </a:extLst>
        </xdr:cNvPr>
        <xdr:cNvSpPr/>
      </xdr:nvSpPr>
      <xdr:spPr>
        <a:xfrm>
          <a:off x="9067800" y="523875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0</xdr:rowOff>
    </xdr:from>
    <xdr:to>
      <xdr:col>8</xdr:col>
      <xdr:colOff>427672</xdr:colOff>
      <xdr:row>4</xdr:row>
      <xdr:rowOff>14287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56A923F-EE9E-4B96-A537-82BEA7CEF512}"/>
            </a:ext>
          </a:extLst>
        </xdr:cNvPr>
        <xdr:cNvSpPr/>
      </xdr:nvSpPr>
      <xdr:spPr>
        <a:xfrm>
          <a:off x="7124700" y="733425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1183821</xdr:colOff>
      <xdr:row>29</xdr:row>
      <xdr:rowOff>27215</xdr:rowOff>
    </xdr:from>
    <xdr:to>
      <xdr:col>1</xdr:col>
      <xdr:colOff>2405878</xdr:colOff>
      <xdr:row>33</xdr:row>
      <xdr:rowOff>168321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10BE106-2758-4CD0-9DBE-F431570E8E76}"/>
            </a:ext>
          </a:extLst>
        </xdr:cNvPr>
        <xdr:cNvSpPr/>
      </xdr:nvSpPr>
      <xdr:spPr>
        <a:xfrm>
          <a:off x="2177142" y="7252608"/>
          <a:ext cx="1222057" cy="848677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17</xdr:row>
      <xdr:rowOff>0</xdr:rowOff>
    </xdr:from>
    <xdr:to>
      <xdr:col>1</xdr:col>
      <xdr:colOff>1222057</xdr:colOff>
      <xdr:row>22</xdr:row>
      <xdr:rowOff>69532</xdr:rowOff>
    </xdr:to>
    <xdr:sp macro="" textlink="">
      <xdr:nvSpPr>
        <xdr:cNvPr id="2" name="Seta: para a Esquerd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259874D-ACB8-4D5A-AECE-1C6AD4D77462}"/>
            </a:ext>
          </a:extLst>
        </xdr:cNvPr>
        <xdr:cNvSpPr/>
      </xdr:nvSpPr>
      <xdr:spPr>
        <a:xfrm>
          <a:off x="180975" y="4171950"/>
          <a:ext cx="1222057" cy="85058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454343</xdr:colOff>
      <xdr:row>0</xdr:row>
      <xdr:rowOff>250032</xdr:rowOff>
    </xdr:from>
    <xdr:to>
      <xdr:col>14</xdr:col>
      <xdr:colOff>194310</xdr:colOff>
      <xdr:row>4</xdr:row>
      <xdr:rowOff>240030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FF2BFA-E181-8A15-8A24-E4C449DE6049}"/>
            </a:ext>
          </a:extLst>
        </xdr:cNvPr>
        <xdr:cNvSpPr/>
      </xdr:nvSpPr>
      <xdr:spPr>
        <a:xfrm>
          <a:off x="7598093" y="250032"/>
          <a:ext cx="1216342" cy="83534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427672</xdr:colOff>
      <xdr:row>2</xdr:row>
      <xdr:rowOff>566737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C2D3EE6-CB30-4CC9-AED3-7D31B9EC915A}"/>
            </a:ext>
          </a:extLst>
        </xdr:cNvPr>
        <xdr:cNvSpPr/>
      </xdr:nvSpPr>
      <xdr:spPr>
        <a:xfrm>
          <a:off x="6553200" y="381000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0</xdr:colOff>
      <xdr:row>1</xdr:row>
      <xdr:rowOff>0</xdr:rowOff>
    </xdr:from>
    <xdr:to>
      <xdr:col>15</xdr:col>
      <xdr:colOff>427672</xdr:colOff>
      <xdr:row>3</xdr:row>
      <xdr:rowOff>176212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68FD622-F99A-4C61-8ACD-30C359A7F575}"/>
            </a:ext>
          </a:extLst>
        </xdr:cNvPr>
        <xdr:cNvSpPr/>
      </xdr:nvSpPr>
      <xdr:spPr>
        <a:xfrm>
          <a:off x="13630275" y="381000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66675</xdr:colOff>
      <xdr:row>2</xdr:row>
      <xdr:rowOff>133350</xdr:rowOff>
    </xdr:from>
    <xdr:to>
      <xdr:col>11</xdr:col>
      <xdr:colOff>496252</xdr:colOff>
      <xdr:row>4</xdr:row>
      <xdr:rowOff>122872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4133FBF-0B89-4318-B4BD-9C729BF86D68}"/>
            </a:ext>
          </a:extLst>
        </xdr:cNvPr>
        <xdr:cNvSpPr/>
      </xdr:nvSpPr>
      <xdr:spPr>
        <a:xfrm>
          <a:off x="8724900" y="723900"/>
          <a:ext cx="1220152" cy="84677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3</xdr:row>
      <xdr:rowOff>0</xdr:rowOff>
    </xdr:from>
    <xdr:to>
      <xdr:col>9</xdr:col>
      <xdr:colOff>427672</xdr:colOff>
      <xdr:row>5</xdr:row>
      <xdr:rowOff>14287</xdr:rowOff>
    </xdr:to>
    <xdr:sp macro="" textlink="">
      <xdr:nvSpPr>
        <xdr:cNvPr id="3" name="Seta: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0305FD6-139D-4560-B3B8-25FFAD492DC4}"/>
            </a:ext>
          </a:extLst>
        </xdr:cNvPr>
        <xdr:cNvSpPr/>
      </xdr:nvSpPr>
      <xdr:spPr>
        <a:xfrm>
          <a:off x="5676900" y="742950"/>
          <a:ext cx="1218247" cy="842962"/>
        </a:xfrm>
        <a:prstGeom prst="leftArrow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800" b="1"/>
            <a:t>Início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4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3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4A40A-794E-45D7-B299-A445BD7C81D5}">
  <sheetPr>
    <tabColor rgb="FF0070C0"/>
  </sheetPr>
  <dimension ref="A1:AB38"/>
  <sheetViews>
    <sheetView showGridLines="0" workbookViewId="0"/>
  </sheetViews>
  <sheetFormatPr defaultRowHeight="13.5"/>
  <cols>
    <col min="1" max="1" width="19.7109375" style="1180" customWidth="1"/>
    <col min="2" max="2" width="12.42578125" style="1180" customWidth="1"/>
    <col min="3" max="3" width="15" style="1180" bestFit="1" customWidth="1"/>
    <col min="4" max="28" width="12.85546875" style="1180" bestFit="1" customWidth="1"/>
    <col min="29" max="16384" width="9.140625" style="1180"/>
  </cols>
  <sheetData>
    <row r="1" spans="1:28" s="1183" customFormat="1">
      <c r="C1" s="1184" t="s">
        <v>121</v>
      </c>
      <c r="D1" s="1184" t="s">
        <v>581</v>
      </c>
      <c r="E1" s="1184" t="s">
        <v>582</v>
      </c>
      <c r="F1" s="1184" t="s">
        <v>583</v>
      </c>
      <c r="G1" s="1184" t="s">
        <v>584</v>
      </c>
      <c r="H1" s="1184" t="s">
        <v>369</v>
      </c>
      <c r="I1" s="1184" t="s">
        <v>370</v>
      </c>
      <c r="J1" s="1184" t="s">
        <v>371</v>
      </c>
      <c r="K1" s="1184" t="s">
        <v>372</v>
      </c>
      <c r="L1" s="1184" t="s">
        <v>373</v>
      </c>
      <c r="M1" s="1184" t="s">
        <v>374</v>
      </c>
      <c r="N1" s="1184" t="s">
        <v>375</v>
      </c>
      <c r="O1" s="1184" t="s">
        <v>376</v>
      </c>
      <c r="P1" s="1184" t="s">
        <v>377</v>
      </c>
      <c r="Q1" s="1184" t="s">
        <v>378</v>
      </c>
      <c r="R1" s="1184" t="s">
        <v>379</v>
      </c>
      <c r="S1" s="1184" t="s">
        <v>380</v>
      </c>
      <c r="T1" s="1184" t="s">
        <v>381</v>
      </c>
      <c r="U1" s="1184" t="s">
        <v>382</v>
      </c>
      <c r="V1" s="1184" t="s">
        <v>383</v>
      </c>
      <c r="W1" s="1184" t="s">
        <v>384</v>
      </c>
      <c r="X1" s="1184" t="s">
        <v>385</v>
      </c>
      <c r="Y1" s="1184" t="s">
        <v>386</v>
      </c>
      <c r="Z1" s="1184" t="s">
        <v>387</v>
      </c>
      <c r="AA1" s="1184" t="s">
        <v>388</v>
      </c>
      <c r="AB1" s="1184" t="s">
        <v>389</v>
      </c>
    </row>
    <row r="2" spans="1:28">
      <c r="A2" s="1190" t="s">
        <v>580</v>
      </c>
      <c r="B2" s="1190"/>
      <c r="C2" s="1185">
        <f>SUM(D2:AB2)</f>
        <v>113144936.5184076</v>
      </c>
      <c r="D2" s="1186">
        <v>3300463.4410477728</v>
      </c>
      <c r="E2" s="1186">
        <v>3708341.8851871886</v>
      </c>
      <c r="F2" s="1186">
        <v>4008029.4952593418</v>
      </c>
      <c r="G2" s="1186">
        <v>4073699.9550725189</v>
      </c>
      <c r="H2" s="1186">
        <v>4168530.9301507464</v>
      </c>
      <c r="I2" s="1186">
        <v>4364999.8344247555</v>
      </c>
      <c r="J2" s="1186">
        <v>4663100.202262952</v>
      </c>
      <c r="K2" s="1186">
        <v>4665542.6642718697</v>
      </c>
      <c r="L2" s="1186">
        <v>4672249.2421313887</v>
      </c>
      <c r="M2" s="1186">
        <v>4678955.8199909087</v>
      </c>
      <c r="N2" s="1186">
        <v>4685103.5163621325</v>
      </c>
      <c r="O2" s="1186">
        <v>4690692.3312450647</v>
      </c>
      <c r="P2" s="1186">
        <v>4696281.1461279979</v>
      </c>
      <c r="Q2" s="1186">
        <v>4701869.9610109283</v>
      </c>
      <c r="R2" s="1186">
        <v>4706899.8944055689</v>
      </c>
      <c r="S2" s="1186">
        <v>4713047.5907767965</v>
      </c>
      <c r="T2" s="1186">
        <v>4719195.2871480193</v>
      </c>
      <c r="U2" s="1186">
        <v>4723666.3390543666</v>
      </c>
      <c r="V2" s="1186">
        <v>4728137.390960712</v>
      </c>
      <c r="W2" s="1186">
        <v>4732608.4428670583</v>
      </c>
      <c r="X2" s="1186">
        <v>4738197.2577499906</v>
      </c>
      <c r="Y2" s="1186">
        <v>4743786.0726329209</v>
      </c>
      <c r="Z2" s="1186">
        <v>4748816.0060275607</v>
      </c>
      <c r="AA2" s="1186">
        <v>4754404.8209104948</v>
      </c>
      <c r="AB2" s="1186">
        <v>4758316.9913285477</v>
      </c>
    </row>
    <row r="3" spans="1:28">
      <c r="C3" s="1182"/>
      <c r="D3" s="1181"/>
      <c r="E3" s="1181"/>
      <c r="F3" s="1181"/>
      <c r="G3" s="1181"/>
      <c r="H3" s="1181"/>
      <c r="I3" s="1181"/>
      <c r="J3" s="1181"/>
      <c r="K3" s="1181"/>
      <c r="L3" s="1181"/>
      <c r="M3" s="1181"/>
      <c r="N3" s="1181"/>
      <c r="O3" s="1181"/>
      <c r="P3" s="1181"/>
      <c r="Q3" s="1181"/>
      <c r="R3" s="1181"/>
      <c r="S3" s="1181"/>
      <c r="T3" s="1181"/>
      <c r="U3" s="1181"/>
      <c r="V3" s="1181"/>
      <c r="W3" s="1181"/>
      <c r="X3" s="1181"/>
      <c r="Y3" s="1181"/>
      <c r="Z3" s="1181"/>
      <c r="AA3" s="1181"/>
      <c r="AB3" s="1181"/>
    </row>
    <row r="4" spans="1:28">
      <c r="A4" s="1192" t="s">
        <v>586</v>
      </c>
      <c r="B4" s="1193"/>
      <c r="C4" s="1185">
        <f>SUM(D4:AB4)</f>
        <v>115440885.25612722</v>
      </c>
      <c r="D4" s="1186">
        <f t="array" ref="D4:AB4">TRANSPOSE('TS - 14 R1 FAT 2'!H10:H34)</f>
        <v>3337701.3218688015</v>
      </c>
      <c r="E4" s="1186">
        <v>3754425.2392501896</v>
      </c>
      <c r="F4" s="1186">
        <v>4064222.9161874908</v>
      </c>
      <c r="G4" s="1186">
        <v>4086433.9881801065</v>
      </c>
      <c r="H4" s="1186">
        <v>4263700.8666541139</v>
      </c>
      <c r="I4" s="1186">
        <v>4460340.6598898321</v>
      </c>
      <c r="J4" s="1186">
        <v>4760710.5303800935</v>
      </c>
      <c r="K4" s="1186">
        <v>4767563.7605101988</v>
      </c>
      <c r="L4" s="1186">
        <v>4774416.9906403041</v>
      </c>
      <c r="M4" s="1186">
        <v>4781270.2207704112</v>
      </c>
      <c r="N4" s="1186">
        <v>4787552.348389673</v>
      </c>
      <c r="O4" s="1186">
        <v>4793263.3734980952</v>
      </c>
      <c r="P4" s="1186">
        <v>4798974.3986065155</v>
      </c>
      <c r="Q4" s="1186">
        <v>4804685.4237149358</v>
      </c>
      <c r="R4" s="1186">
        <v>4809825.3463125164</v>
      </c>
      <c r="S4" s="1186">
        <v>4816107.4739317819</v>
      </c>
      <c r="T4" s="1186">
        <v>4822389.6015510447</v>
      </c>
      <c r="U4" s="1186">
        <v>4826958.4216377819</v>
      </c>
      <c r="V4" s="1186">
        <v>4831527.2417245191</v>
      </c>
      <c r="W4" s="1186">
        <v>4836096.0618112553</v>
      </c>
      <c r="X4" s="1186">
        <v>4841807.0869196784</v>
      </c>
      <c r="Y4" s="1186">
        <v>4847518.1120280977</v>
      </c>
      <c r="Z4" s="1186">
        <v>4852658.0346256765</v>
      </c>
      <c r="AA4" s="1186">
        <v>4858369.0597340995</v>
      </c>
      <c r="AB4" s="1186">
        <v>4862366.7773099951</v>
      </c>
    </row>
    <row r="5" spans="1:28">
      <c r="C5" s="1182"/>
    </row>
    <row r="6" spans="1:28">
      <c r="A6" s="1191" t="s">
        <v>585</v>
      </c>
      <c r="B6" s="1191"/>
      <c r="C6" s="1187">
        <f>C4-C2</f>
        <v>2295948.7377196252</v>
      </c>
      <c r="D6" s="1188">
        <f>D4-D2</f>
        <v>37237.880821028724</v>
      </c>
      <c r="E6" s="1188">
        <f t="shared" ref="E6:AB6" si="0">E4-E2</f>
        <v>46083.354063000996</v>
      </c>
      <c r="F6" s="1188">
        <f t="shared" si="0"/>
        <v>56193.420928149018</v>
      </c>
      <c r="G6" s="1188">
        <f t="shared" si="0"/>
        <v>12734.033107587602</v>
      </c>
      <c r="H6" s="1188">
        <f t="shared" si="0"/>
        <v>95169.936503367499</v>
      </c>
      <c r="I6" s="1188">
        <f t="shared" si="0"/>
        <v>95340.825465076603</v>
      </c>
      <c r="J6" s="1188">
        <f t="shared" si="0"/>
        <v>97610.3281171415</v>
      </c>
      <c r="K6" s="1188">
        <f t="shared" si="0"/>
        <v>102021.09623832908</v>
      </c>
      <c r="L6" s="1188">
        <f t="shared" si="0"/>
        <v>102167.74850891531</v>
      </c>
      <c r="M6" s="1188">
        <f t="shared" si="0"/>
        <v>102314.40077950247</v>
      </c>
      <c r="N6" s="1188">
        <f t="shared" si="0"/>
        <v>102448.83202754054</v>
      </c>
      <c r="O6" s="1188">
        <f t="shared" si="0"/>
        <v>102571.04225303046</v>
      </c>
      <c r="P6" s="1188">
        <f t="shared" si="0"/>
        <v>102693.25247851759</v>
      </c>
      <c r="Q6" s="1188">
        <f t="shared" si="0"/>
        <v>102815.46270400751</v>
      </c>
      <c r="R6" s="1188">
        <f t="shared" si="0"/>
        <v>102925.45190694742</v>
      </c>
      <c r="S6" s="1188">
        <f t="shared" si="0"/>
        <v>103059.88315498549</v>
      </c>
      <c r="T6" s="1188">
        <f t="shared" si="0"/>
        <v>103194.31440302543</v>
      </c>
      <c r="U6" s="1188">
        <f t="shared" si="0"/>
        <v>103292.08258341532</v>
      </c>
      <c r="V6" s="1188">
        <f t="shared" si="0"/>
        <v>103389.85076380707</v>
      </c>
      <c r="W6" s="1188">
        <f t="shared" si="0"/>
        <v>103487.61894419696</v>
      </c>
      <c r="X6" s="1188">
        <f t="shared" si="0"/>
        <v>103609.82916968782</v>
      </c>
      <c r="Y6" s="1188">
        <f t="shared" si="0"/>
        <v>103732.03939517681</v>
      </c>
      <c r="Z6" s="1188">
        <f t="shared" si="0"/>
        <v>103842.02859811578</v>
      </c>
      <c r="AA6" s="1188">
        <f t="shared" si="0"/>
        <v>103964.23882360477</v>
      </c>
      <c r="AB6" s="1188">
        <f t="shared" si="0"/>
        <v>104049.78598144744</v>
      </c>
    </row>
    <row r="37" spans="1:1" hidden="1">
      <c r="A37" s="1180" t="s">
        <v>578</v>
      </c>
    </row>
    <row r="38" spans="1:1" hidden="1">
      <c r="A38" s="1180" t="s">
        <v>579</v>
      </c>
    </row>
  </sheetData>
  <mergeCells count="3">
    <mergeCell ref="A2:B2"/>
    <mergeCell ref="A6:B6"/>
    <mergeCell ref="A4:B4"/>
  </mergeCells>
  <phoneticPr fontId="12" type="noConversion"/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4">
    <tabColor rgb="FF7030A0"/>
    <pageSetUpPr fitToPage="1"/>
  </sheetPr>
  <dimension ref="B1:R35"/>
  <sheetViews>
    <sheetView showGridLines="0" workbookViewId="0">
      <selection activeCell="B20" sqref="B20"/>
    </sheetView>
  </sheetViews>
  <sheetFormatPr defaultColWidth="11.5703125" defaultRowHeight="14.25"/>
  <cols>
    <col min="1" max="1" width="2.7109375" style="41" customWidth="1"/>
    <col min="2" max="2" width="8.28515625" style="41" customWidth="1"/>
    <col min="3" max="3" width="15.85546875" style="41" customWidth="1"/>
    <col min="4" max="4" width="16" style="41" customWidth="1"/>
    <col min="5" max="6" width="15.85546875" style="41" customWidth="1"/>
    <col min="7" max="7" width="17" style="41" customWidth="1"/>
    <col min="8" max="8" width="16.28515625" style="41" customWidth="1"/>
    <col min="9" max="9" width="15.85546875" style="41" customWidth="1"/>
    <col min="10" max="10" width="2.7109375" style="41" customWidth="1"/>
    <col min="11" max="13" width="11.5703125" style="41" customWidth="1"/>
    <col min="14" max="14" width="11.7109375" style="109" customWidth="1"/>
    <col min="15" max="18" width="11.5703125" style="41" customWidth="1"/>
    <col min="19" max="16384" width="11.5703125" style="41"/>
  </cols>
  <sheetData>
    <row r="1" spans="2:18" ht="30" customHeight="1">
      <c r="B1" s="1208" t="s">
        <v>45</v>
      </c>
      <c r="C1" s="1208"/>
      <c r="D1" s="1208"/>
      <c r="E1" s="1208"/>
      <c r="F1" s="1208"/>
      <c r="G1" s="1208"/>
      <c r="H1" s="1208"/>
      <c r="I1" s="1208"/>
      <c r="M1" s="41">
        <f>O1/1000</f>
        <v>1.4999999999999999E-4</v>
      </c>
      <c r="N1" s="109" t="s">
        <v>84</v>
      </c>
      <c r="O1" s="41">
        <f>0.15</f>
        <v>0.15</v>
      </c>
      <c r="P1" s="41" t="s">
        <v>83</v>
      </c>
    </row>
    <row r="2" spans="2:18" s="102" customFormat="1" ht="16.149999999999999" customHeight="1" thickBot="1">
      <c r="D2" s="103"/>
      <c r="E2" s="103"/>
      <c r="F2" s="103"/>
      <c r="G2" s="103"/>
      <c r="H2" s="103"/>
      <c r="I2" s="103"/>
      <c r="N2" s="103"/>
    </row>
    <row r="3" spans="2:18" ht="21.75" customHeight="1">
      <c r="B3" s="1198" t="s">
        <v>1</v>
      </c>
      <c r="C3" s="1230" t="s">
        <v>63</v>
      </c>
      <c r="D3" s="1232" t="s">
        <v>64</v>
      </c>
      <c r="E3" s="1228" t="s">
        <v>65</v>
      </c>
      <c r="F3" s="1228" t="s">
        <v>9</v>
      </c>
      <c r="G3" s="1228" t="s">
        <v>66</v>
      </c>
      <c r="H3" s="1228" t="s">
        <v>67</v>
      </c>
      <c r="I3" s="1230" t="s">
        <v>68</v>
      </c>
      <c r="M3" s="1234" t="s">
        <v>69</v>
      </c>
      <c r="N3" s="1239" t="s">
        <v>70</v>
      </c>
      <c r="O3" s="1238" t="s">
        <v>80</v>
      </c>
      <c r="P3" s="1236" t="s">
        <v>97</v>
      </c>
      <c r="Q3" s="1234" t="s">
        <v>343</v>
      </c>
    </row>
    <row r="4" spans="2:18" s="89" customFormat="1" ht="45.75" customHeight="1" thickBot="1">
      <c r="B4" s="1199"/>
      <c r="C4" s="1231"/>
      <c r="D4" s="1233"/>
      <c r="E4" s="1229"/>
      <c r="F4" s="1229"/>
      <c r="G4" s="1229"/>
      <c r="H4" s="1229"/>
      <c r="I4" s="1231"/>
      <c r="J4" s="41"/>
      <c r="K4" s="41"/>
      <c r="L4" s="41"/>
      <c r="M4" s="1235"/>
      <c r="N4" s="1240"/>
      <c r="O4" s="1238"/>
      <c r="P4" s="1237"/>
      <c r="Q4" s="1235"/>
    </row>
    <row r="5" spans="2:18" ht="20.25" customHeight="1">
      <c r="B5" s="93">
        <v>1</v>
      </c>
      <c r="C5" s="104">
        <f>('3 Vol'!D4/(1-'3 Vol'!G4)*(1000/365/24/60/60))</f>
        <v>36.570885207597478</v>
      </c>
      <c r="D5" s="104">
        <f>(('3 Vol'!D4*1.2)*1000/365/24/60/60)+Q5</f>
        <v>40.154977949499752</v>
      </c>
      <c r="E5" s="105">
        <f>(('3 Vol'!D4*1.2*1.5)*1000/365/24/60/60)+Q5</f>
        <v>51.126243511778981</v>
      </c>
      <c r="F5" s="95">
        <v>1450</v>
      </c>
      <c r="G5" s="597">
        <f>((N5*0.8)+(O5*$M$1))*P5</f>
        <v>0</v>
      </c>
      <c r="H5" s="597">
        <f>((N5*0.8*1.2)+(O5*$M$1))*P5</f>
        <v>0</v>
      </c>
      <c r="I5" s="598">
        <f>((N5*0.8*1.2*1.5)+(O5*$M$1))*P5</f>
        <v>0</v>
      </c>
      <c r="L5" s="41">
        <v>1</v>
      </c>
      <c r="M5" s="591">
        <v>0.499</v>
      </c>
      <c r="N5" s="111">
        <f>'3 Vol'!D4*1000/365/24/60/60</f>
        <v>18.285442603798742</v>
      </c>
      <c r="O5" s="146">
        <v>38132</v>
      </c>
      <c r="P5" s="147">
        <f>'1 R1 Pop'!J5</f>
        <v>0</v>
      </c>
      <c r="Q5" s="592">
        <v>18.212446824941257</v>
      </c>
      <c r="R5" s="110"/>
    </row>
    <row r="6" spans="2:18" ht="20.25" customHeight="1">
      <c r="B6" s="98">
        <v>2</v>
      </c>
      <c r="C6" s="104">
        <f>('3 Vol'!D5/(1-'3 Vol'!G5)*(1000/365/24/60/60))</f>
        <v>34.498541919650911</v>
      </c>
      <c r="D6" s="104">
        <f>(('3 Vol'!D5*1.2)*1000/365/24/60/60)+Q6</f>
        <v>39.551251443882876</v>
      </c>
      <c r="E6" s="105">
        <f>(('3 Vol'!D5*1.2*1.5)*1000/365/24/60/60)+Q6</f>
        <v>50.728779025849768</v>
      </c>
      <c r="F6" s="108">
        <f>F5</f>
        <v>1450</v>
      </c>
      <c r="G6" s="597">
        <f t="shared" ref="G6:G34" si="0">((N6*0.8)+(O6*$M$1))*P6</f>
        <v>0</v>
      </c>
      <c r="H6" s="597">
        <f t="shared" ref="H6:H34" si="1">((N6*0.8*1.2)+(O6*$M$1))*P6</f>
        <v>0</v>
      </c>
      <c r="I6" s="598">
        <f t="shared" ref="I6:I34" si="2">((N6*0.8*1.2*1.5)+(O6*$M$1))*P6</f>
        <v>0</v>
      </c>
      <c r="L6" s="41">
        <v>2</v>
      </c>
      <c r="M6" s="591">
        <v>0.48</v>
      </c>
      <c r="N6" s="112">
        <f>'3 Vol'!D5*1000/365/24/60/60</f>
        <v>18.629212636611499</v>
      </c>
      <c r="O6" s="122">
        <v>38327.664104859141</v>
      </c>
      <c r="P6" s="147">
        <f>'1 R1 Pop'!J6</f>
        <v>0</v>
      </c>
      <c r="Q6" s="592">
        <v>17.196196279949078</v>
      </c>
    </row>
    <row r="7" spans="2:18" ht="20.25" customHeight="1">
      <c r="B7" s="98">
        <v>3</v>
      </c>
      <c r="C7" s="104">
        <f>('3 Vol'!D6/(1-'3 Vol'!G6)*(1000/365/24/60/60))</f>
        <v>31.623460814137196</v>
      </c>
      <c r="D7" s="104">
        <f>(('3 Vol'!D6*1.2)*1000/365/24/60/60)+Q7</f>
        <v>38.93199398007112</v>
      </c>
      <c r="E7" s="105">
        <f>(('3 Vol'!D6*1.2*1.5)*1000/365/24/60/60)+Q7</f>
        <v>50.316439873160519</v>
      </c>
      <c r="F7" s="108">
        <f t="shared" ref="F7:F34" si="3">F6</f>
        <v>1450</v>
      </c>
      <c r="G7" s="597">
        <f t="shared" si="0"/>
        <v>0</v>
      </c>
      <c r="H7" s="597">
        <f t="shared" si="1"/>
        <v>0</v>
      </c>
      <c r="I7" s="598">
        <f t="shared" si="2"/>
        <v>0</v>
      </c>
      <c r="L7" s="41">
        <v>3</v>
      </c>
      <c r="M7" s="591">
        <v>0.46</v>
      </c>
      <c r="N7" s="112">
        <f>'3 Vol'!D6*1000/365/24/60/60</f>
        <v>18.974076488482318</v>
      </c>
      <c r="O7" s="122">
        <v>38519.800339002082</v>
      </c>
      <c r="P7" s="147">
        <f>'1 R1 Pop'!J7</f>
        <v>0</v>
      </c>
      <c r="Q7" s="592">
        <v>16.163102193892342</v>
      </c>
    </row>
    <row r="8" spans="2:18" ht="20.25" customHeight="1">
      <c r="B8" s="98">
        <v>4</v>
      </c>
      <c r="C8" s="104">
        <f>('3 Vol'!D7/(1-'3 Vol'!G7)*(1000/365/24/60/60))</f>
        <v>29.724622997458095</v>
      </c>
      <c r="D8" s="104">
        <f>(('3 Vol'!D7*1.2)*1000/365/24/60/60)+Q8</f>
        <v>38.365995540290555</v>
      </c>
      <c r="E8" s="105">
        <f>(('3 Vol'!D7*1.2*1.5)*1000/365/24/60/60)+Q8</f>
        <v>49.958598509299215</v>
      </c>
      <c r="F8" s="108">
        <f t="shared" si="3"/>
        <v>1450</v>
      </c>
      <c r="G8" s="597">
        <f t="shared" si="0"/>
        <v>0</v>
      </c>
      <c r="H8" s="597">
        <f t="shared" si="1"/>
        <v>0</v>
      </c>
      <c r="I8" s="598">
        <f t="shared" si="2"/>
        <v>0</v>
      </c>
      <c r="L8" s="41">
        <v>4</v>
      </c>
      <c r="M8" s="591">
        <v>0.44</v>
      </c>
      <c r="N8" s="112">
        <f>'3 Vol'!D7*1000/365/24/60/60</f>
        <v>19.321004948347767</v>
      </c>
      <c r="O8" s="122">
        <v>38708.610635030127</v>
      </c>
      <c r="P8" s="147">
        <f>'1 R1 Pop'!J8</f>
        <v>0</v>
      </c>
      <c r="Q8" s="592">
        <v>15.180789602273236</v>
      </c>
    </row>
    <row r="9" spans="2:18" ht="20.25" customHeight="1">
      <c r="B9" s="98">
        <v>5</v>
      </c>
      <c r="C9" s="104">
        <f>('3 Vol'!D8/(1-'3 Vol'!G8)*(1000/365/24/60/60))</f>
        <v>28.094490491175453</v>
      </c>
      <c r="D9" s="104">
        <f>(('3 Vol'!D8*1.2)*1000/365/24/60/60)+Q9</f>
        <v>37.840372365010793</v>
      </c>
      <c r="E9" s="105">
        <f>(('3 Vol'!D8*1.2*1.5)*1000/365/24/60/60)+Q9</f>
        <v>49.640058371304477</v>
      </c>
      <c r="F9" s="108">
        <f t="shared" si="3"/>
        <v>1450</v>
      </c>
      <c r="G9" s="889">
        <f t="shared" si="0"/>
        <v>8.6527555265580514</v>
      </c>
      <c r="H9" s="889">
        <f t="shared" si="1"/>
        <v>9.9113887005627124</v>
      </c>
      <c r="I9" s="890">
        <f>((N9*0.8*1.2*1.5)+(O9*$M$1))*P9</f>
        <v>13.687288222576695</v>
      </c>
      <c r="L9" s="41">
        <v>5</v>
      </c>
      <c r="M9" s="591">
        <v>0.42</v>
      </c>
      <c r="N9" s="112">
        <f>'3 Vol'!D8*1000/365/24/60/60</f>
        <v>19.666143343822817</v>
      </c>
      <c r="O9" s="122">
        <v>39326.494275579178</v>
      </c>
      <c r="P9" s="147">
        <f>'1 R1 Pop'!J9</f>
        <v>0.4</v>
      </c>
      <c r="Q9" s="592">
        <v>14.241000352423413</v>
      </c>
    </row>
    <row r="10" spans="2:18" ht="20.25" customHeight="1">
      <c r="B10" s="98">
        <v>6</v>
      </c>
      <c r="C10" s="104">
        <f>('3 Vol'!D9/(1-'3 Vol'!G9)*(1000/365/24/60/60))</f>
        <v>27.79624149777187</v>
      </c>
      <c r="D10" s="104">
        <f>(('3 Vol'!D9*1.2)*1000/365/24/60/60)+Q10</f>
        <v>37.358148573005394</v>
      </c>
      <c r="E10" s="105">
        <f>(('3 Vol'!D9*1.2*1.5)*1000/365/24/60/60)+Q10</f>
        <v>49.366124900042834</v>
      </c>
      <c r="F10" s="108">
        <f t="shared" si="3"/>
        <v>1450</v>
      </c>
      <c r="G10" s="889">
        <f t="shared" si="0"/>
        <v>12.879219163525876</v>
      </c>
      <c r="H10" s="889">
        <f t="shared" si="1"/>
        <v>14.736452835441002</v>
      </c>
      <c r="I10" s="890">
        <f t="shared" si="2"/>
        <v>20.308153851186376</v>
      </c>
      <c r="L10" s="41">
        <v>6</v>
      </c>
      <c r="M10" s="591">
        <v>0.4</v>
      </c>
      <c r="N10" s="112">
        <f>'3 Vol'!D9*1000/365/24/60/60</f>
        <v>20.013293878395746</v>
      </c>
      <c r="O10" s="122">
        <v>41299.434528163794</v>
      </c>
      <c r="P10" s="147">
        <f>'1 R1 Pop'!J10</f>
        <v>0.57999999999999996</v>
      </c>
      <c r="Q10" s="592">
        <v>13.342195918930496</v>
      </c>
    </row>
    <row r="11" spans="2:18" ht="20.25" customHeight="1">
      <c r="B11" s="98">
        <v>7</v>
      </c>
      <c r="C11" s="104">
        <f>('3 Vol'!D10/(1-'3 Vol'!G10)*(1000/365/24/60/60))</f>
        <v>27.086157297390137</v>
      </c>
      <c r="D11" s="104">
        <f>(('3 Vol'!D10*1.2)*1000/365/24/60/60)+Q11</f>
        <v>36.337390634963256</v>
      </c>
      <c r="E11" s="105">
        <f>(('3 Vol'!D10*1.2*1.5)*1000/365/24/60/60)+Q11</f>
        <v>48.363644475004477</v>
      </c>
      <c r="F11" s="108">
        <f t="shared" si="3"/>
        <v>1450</v>
      </c>
      <c r="G11" s="889">
        <f t="shared" si="0"/>
        <v>15.306693137707978</v>
      </c>
      <c r="H11" s="889">
        <f t="shared" si="1"/>
        <v>17.487453834035453</v>
      </c>
      <c r="I11" s="890">
        <f t="shared" si="2"/>
        <v>24.029735923017881</v>
      </c>
      <c r="L11" s="41">
        <v>7</v>
      </c>
      <c r="M11" s="591">
        <v>0.38</v>
      </c>
      <c r="N11" s="112">
        <f>'3 Vol'!D10*1000/365/24/60/60</f>
        <v>20.043756400068705</v>
      </c>
      <c r="O11" s="122">
        <v>43165.584863437267</v>
      </c>
      <c r="P11" s="147">
        <f>'1 R1 Pop'!J11</f>
        <v>0.68</v>
      </c>
      <c r="Q11" s="592">
        <v>12.284882954880814</v>
      </c>
    </row>
    <row r="12" spans="2:18" ht="20.25" customHeight="1">
      <c r="B12" s="98">
        <v>8</v>
      </c>
      <c r="C12" s="104">
        <f>('3 Vol'!D11/(1-'3 Vol'!G11)*(1000/365/24/60/60))</f>
        <v>26.765625228988874</v>
      </c>
      <c r="D12" s="104">
        <f>(('3 Vol'!D11*1.2)*1000/365/24/60/60)+Q12</f>
        <v>35.38081084956967</v>
      </c>
      <c r="E12" s="105">
        <f>(('3 Vol'!D11*1.2*1.5)*1000/365/24/60/60)+Q12</f>
        <v>47.425342202614658</v>
      </c>
      <c r="F12" s="108">
        <f t="shared" si="3"/>
        <v>1450</v>
      </c>
      <c r="G12" s="889">
        <f t="shared" si="0"/>
        <v>16.433550527856053</v>
      </c>
      <c r="H12" s="889">
        <f t="shared" si="1"/>
        <v>18.746100547640694</v>
      </c>
      <c r="I12" s="890">
        <f t="shared" si="2"/>
        <v>25.683750606994611</v>
      </c>
      <c r="L12" s="41">
        <v>8</v>
      </c>
      <c r="M12" s="591">
        <v>0.36</v>
      </c>
      <c r="N12" s="112">
        <f>'3 Vol'!D11*1000/365/24/60/60</f>
        <v>20.074218921741654</v>
      </c>
      <c r="O12" s="122">
        <v>45100.003971600563</v>
      </c>
      <c r="P12" s="147">
        <f>'1 R1 Pop'!J12</f>
        <v>0.72</v>
      </c>
      <c r="Q12" s="592">
        <v>11.29174814347968</v>
      </c>
    </row>
    <row r="13" spans="2:18" ht="20.25" customHeight="1">
      <c r="B13" s="98">
        <v>9</v>
      </c>
      <c r="C13" s="104">
        <f>('3 Vol'!D12/(1-'3 Vol'!G12)*(1000/365/24/60/60))</f>
        <v>26.806241924552815</v>
      </c>
      <c r="D13" s="104">
        <f>(('3 Vol'!D12*1.2)*1000/365/24/60/60)+Q13</f>
        <v>34.482574839311127</v>
      </c>
      <c r="E13" s="105">
        <f>(('3 Vol'!D12*1.2*1.5)*1000/365/24/60/60)+Q13</f>
        <v>46.545383705359896</v>
      </c>
      <c r="F13" s="108">
        <f t="shared" si="3"/>
        <v>1450</v>
      </c>
      <c r="G13" s="889">
        <f t="shared" si="0"/>
        <v>17.144239549803935</v>
      </c>
      <c r="H13" s="889">
        <f t="shared" si="1"/>
        <v>19.556801323013691</v>
      </c>
      <c r="I13" s="890">
        <f t="shared" si="2"/>
        <v>26.794486642642951</v>
      </c>
      <c r="L13" s="41">
        <v>9</v>
      </c>
      <c r="M13" s="591">
        <v>0.34</v>
      </c>
      <c r="N13" s="112">
        <f>'3 Vol'!D12*1000/365/24/60/60</f>
        <v>20.104681443414613</v>
      </c>
      <c r="O13" s="122">
        <v>45168.272744490379</v>
      </c>
      <c r="P13" s="147">
        <f>'1 R1 Pop'!J13</f>
        <v>0.75</v>
      </c>
      <c r="Q13" s="592">
        <v>10.356957107213592</v>
      </c>
    </row>
    <row r="14" spans="2:18" ht="20.25" customHeight="1">
      <c r="B14" s="98">
        <v>10</v>
      </c>
      <c r="C14" s="104">
        <f>('3 Vol'!D13/(1-'3 Vol'!G13)*(1000/365/24/60/60))</f>
        <v>26.848833117338351</v>
      </c>
      <c r="D14" s="104">
        <f>(('3 Vol'!D13*1.2)*1000/365/24/60/60)+Q14</f>
        <v>33.640008552900412</v>
      </c>
      <c r="E14" s="105">
        <f>(('3 Vol'!D13*1.2*1.5)*1000/365/24/60/60)+Q14</f>
        <v>45.721983455702656</v>
      </c>
      <c r="F14" s="108">
        <f t="shared" si="3"/>
        <v>1450</v>
      </c>
      <c r="G14" s="889">
        <f t="shared" si="0"/>
        <v>18.087309829935926</v>
      </c>
      <c r="H14" s="889">
        <f t="shared" si="1"/>
        <v>20.6325792094596</v>
      </c>
      <c r="I14" s="890">
        <f t="shared" si="2"/>
        <v>28.268387348030632</v>
      </c>
      <c r="L14" s="41">
        <v>10</v>
      </c>
      <c r="M14" s="591">
        <v>0.32</v>
      </c>
      <c r="N14" s="112">
        <f>'3 Vol'!D13*1000/365/24/60/60</f>
        <v>20.136624838003762</v>
      </c>
      <c r="O14" s="122">
        <v>45240.193521667075</v>
      </c>
      <c r="P14" s="147">
        <f>'1 R1 Pop'!J14</f>
        <v>0.79</v>
      </c>
      <c r="Q14" s="592">
        <v>9.476058747295891</v>
      </c>
    </row>
    <row r="15" spans="2:18" ht="20.25" customHeight="1">
      <c r="B15" s="98">
        <v>11</v>
      </c>
      <c r="C15" s="104">
        <f>('3 Vol'!D14/(1-'3 Vol'!G14)*(1000/365/24/60/60))</f>
        <v>26.890756166470254</v>
      </c>
      <c r="D15" s="104">
        <f>(('3 Vol'!D14*1.2)*1000/365/24/60/60)+Q15</f>
        <v>32.845137889045802</v>
      </c>
      <c r="E15" s="105">
        <f>(('3 Vol'!D14*1.2*1.5)*1000/365/24/60/60)+Q15</f>
        <v>44.94597816395742</v>
      </c>
      <c r="F15" s="108">
        <f t="shared" si="3"/>
        <v>1450</v>
      </c>
      <c r="G15" s="889">
        <f t="shared" si="0"/>
        <v>19.949996541353819</v>
      </c>
      <c r="H15" s="889">
        <f t="shared" si="1"/>
        <v>22.757391485133315</v>
      </c>
      <c r="I15" s="890">
        <f t="shared" si="2"/>
        <v>31.179576316471799</v>
      </c>
      <c r="L15" s="41">
        <v>11</v>
      </c>
      <c r="M15" s="591">
        <v>0.3</v>
      </c>
      <c r="N15" s="112">
        <f>'3 Vol'!D14*1000/365/24/60/60</f>
        <v>20.168067124852691</v>
      </c>
      <c r="O15" s="122">
        <v>45310.512049473924</v>
      </c>
      <c r="P15" s="147">
        <f>'1 R1 Pop'!J15</f>
        <v>0.87</v>
      </c>
      <c r="Q15" s="592">
        <v>8.6434573392225822</v>
      </c>
    </row>
    <row r="16" spans="2:18" ht="20.25" customHeight="1">
      <c r="B16" s="98">
        <v>12</v>
      </c>
      <c r="C16" s="104">
        <f>('3 Vol'!D15/(1-'3 Vol'!G15)*(1000/365/24/60/60))</f>
        <v>26.929398364812592</v>
      </c>
      <c r="D16" s="104">
        <f>(('3 Vol'!D15*1.2)*1000/365/24/60/60)+Q16</f>
        <v>32.090866384735001</v>
      </c>
      <c r="E16" s="105">
        <f>(('3 Vol'!D15*1.2*1.5)*1000/365/24/60/60)+Q16</f>
        <v>44.209095648900657</v>
      </c>
      <c r="F16" s="108">
        <f t="shared" si="3"/>
        <v>1450</v>
      </c>
      <c r="G16" s="105">
        <f t="shared" si="0"/>
        <v>22.963908248472862</v>
      </c>
      <c r="H16" s="105">
        <f t="shared" si="1"/>
        <v>26.195436052250372</v>
      </c>
      <c r="I16" s="106">
        <f t="shared" si="2"/>
        <v>35.890019463582902</v>
      </c>
      <c r="L16" s="41">
        <v>12</v>
      </c>
      <c r="M16" s="591">
        <v>0.28000000000000003</v>
      </c>
      <c r="N16" s="112">
        <f>'3 Vol'!D15*1000/365/24/60/60</f>
        <v>20.197048773609442</v>
      </c>
      <c r="O16" s="122">
        <v>45375.128197235383</v>
      </c>
      <c r="P16" s="147">
        <f>'1 R1 Pop'!J16</f>
        <v>1</v>
      </c>
      <c r="Q16" s="592">
        <v>7.8544078564036717</v>
      </c>
    </row>
    <row r="17" spans="2:17" ht="20.25" customHeight="1">
      <c r="B17" s="98">
        <v>13</v>
      </c>
      <c r="C17" s="104">
        <f>('3 Vol'!D16/(1-'3 Vol'!G16)*(1000/365/24/60/60))</f>
        <v>26.968040563154922</v>
      </c>
      <c r="D17" s="104">
        <f>(('3 Vol'!D16*1.2)*1000/365/24/60/60)+Q17</f>
        <v>31.013246647628161</v>
      </c>
      <c r="E17" s="105">
        <f>(('3 Vol'!D16*1.2*1.5)*1000/365/24/60/60)+Q17</f>
        <v>43.148864901047872</v>
      </c>
      <c r="F17" s="108">
        <f t="shared" si="3"/>
        <v>1450</v>
      </c>
      <c r="G17" s="105">
        <f t="shared" si="0"/>
        <v>22.996785989642476</v>
      </c>
      <c r="H17" s="105">
        <f t="shared" si="1"/>
        <v>26.23295085722107</v>
      </c>
      <c r="I17" s="106">
        <f t="shared" si="2"/>
        <v>35.941445459956839</v>
      </c>
      <c r="L17" s="41">
        <v>13</v>
      </c>
      <c r="M17" s="591">
        <v>0.25</v>
      </c>
      <c r="N17" s="112">
        <f>'3 Vol'!D16*1000/365/24/60/60</f>
        <v>20.226030422366193</v>
      </c>
      <c r="O17" s="122">
        <v>45439.744344996827</v>
      </c>
      <c r="P17" s="147">
        <f>'1 R1 Pop'!J17</f>
        <v>1</v>
      </c>
      <c r="Q17" s="592">
        <v>6.7420101407887323</v>
      </c>
    </row>
    <row r="18" spans="2:17" ht="20.25" customHeight="1">
      <c r="B18" s="98">
        <v>14</v>
      </c>
      <c r="C18" s="104">
        <f>('3 Vol'!D17/(1-'3 Vol'!G17)*(1000/365/24/60/60))</f>
        <v>27.006682761497267</v>
      </c>
      <c r="D18" s="104">
        <f>(('3 Vol'!D17*1.2)*1000/365/24/60/60)+Q18</f>
        <v>31.057685175721858</v>
      </c>
      <c r="E18" s="105">
        <f>(('3 Vol'!D17*1.2*1.5)*1000/365/24/60/60)+Q18</f>
        <v>43.210692418395624</v>
      </c>
      <c r="F18" s="108">
        <f t="shared" si="3"/>
        <v>1450</v>
      </c>
      <c r="G18" s="105">
        <f t="shared" si="0"/>
        <v>23.0296637308121</v>
      </c>
      <c r="H18" s="105">
        <f t="shared" si="1"/>
        <v>26.270465662191771</v>
      </c>
      <c r="I18" s="106">
        <f t="shared" si="2"/>
        <v>35.992871456330789</v>
      </c>
      <c r="L18" s="41">
        <v>14</v>
      </c>
      <c r="M18" s="591">
        <f t="shared" ref="M18:M34" si="4">M17</f>
        <v>0.25</v>
      </c>
      <c r="N18" s="112">
        <f>'3 Vol'!D17*1000/365/24/60/60</f>
        <v>20.255012071122948</v>
      </c>
      <c r="O18" s="122">
        <v>45504.360492758271</v>
      </c>
      <c r="P18" s="147">
        <f>'1 R1 Pop'!J18</f>
        <v>1</v>
      </c>
      <c r="Q18" s="592">
        <v>6.7516706903743184</v>
      </c>
    </row>
    <row r="19" spans="2:17" ht="20.25" customHeight="1">
      <c r="B19" s="98">
        <v>15</v>
      </c>
      <c r="C19" s="104">
        <f>('3 Vol'!D18/(1-'3 Vol'!G18)*(1000/365/24/60/60))</f>
        <v>27.045324959839604</v>
      </c>
      <c r="D19" s="104">
        <f>(('3 Vol'!D18*1.2)*1000/365/24/60/60)+Q19</f>
        <v>31.102123703815547</v>
      </c>
      <c r="E19" s="105">
        <f>(('3 Vol'!D18*1.2*1.5)*1000/365/24/60/60)+Q19</f>
        <v>43.272519935743375</v>
      </c>
      <c r="F19" s="108">
        <f t="shared" si="3"/>
        <v>1450</v>
      </c>
      <c r="G19" s="105">
        <f t="shared" si="0"/>
        <v>23.062541471981724</v>
      </c>
      <c r="H19" s="105">
        <f t="shared" si="1"/>
        <v>26.307980467162476</v>
      </c>
      <c r="I19" s="106">
        <f t="shared" si="2"/>
        <v>36.04429745270474</v>
      </c>
      <c r="L19" s="41">
        <v>15</v>
      </c>
      <c r="M19" s="591">
        <f t="shared" si="4"/>
        <v>0.25</v>
      </c>
      <c r="N19" s="112">
        <f>'3 Vol'!D18*1000/365/24/60/60</f>
        <v>20.283993719879707</v>
      </c>
      <c r="O19" s="122">
        <v>45568.976640519715</v>
      </c>
      <c r="P19" s="147">
        <f>'1 R1 Pop'!J19</f>
        <v>1</v>
      </c>
      <c r="Q19" s="592">
        <v>6.761331239959901</v>
      </c>
    </row>
    <row r="20" spans="2:17" ht="20.25" customHeight="1">
      <c r="B20" s="98">
        <v>16</v>
      </c>
      <c r="C20" s="104">
        <f>('3 Vol'!D19/(1-'3 Vol'!G19)*(1000/365/24/60/60))</f>
        <v>27.076158970513561</v>
      </c>
      <c r="D20" s="104">
        <f>(('3 Vol'!D19*1.2)*1000/365/24/60/60)+Q20</f>
        <v>31.137582816090596</v>
      </c>
      <c r="E20" s="105">
        <f>(('3 Vol'!D19*1.2*1.5)*1000/365/24/60/60)+Q20</f>
        <v>43.321854352821703</v>
      </c>
      <c r="F20" s="108">
        <f t="shared" si="3"/>
        <v>1450</v>
      </c>
      <c r="G20" s="105">
        <f t="shared" si="0"/>
        <v>23.089061989588082</v>
      </c>
      <c r="H20" s="105">
        <f t="shared" si="1"/>
        <v>26.338201066049713</v>
      </c>
      <c r="I20" s="106">
        <f t="shared" si="2"/>
        <v>36.085618295434593</v>
      </c>
      <c r="L20" s="41">
        <v>16</v>
      </c>
      <c r="M20" s="591">
        <f t="shared" si="4"/>
        <v>0.25</v>
      </c>
      <c r="N20" s="112">
        <f>'3 Vol'!D19*1000/365/24/60/60</f>
        <v>20.30711922788517</v>
      </c>
      <c r="O20" s="122">
        <v>45622.444048532969</v>
      </c>
      <c r="P20" s="147">
        <f>'1 R1 Pop'!J20</f>
        <v>1</v>
      </c>
      <c r="Q20" s="592">
        <v>6.7690397426283901</v>
      </c>
    </row>
    <row r="21" spans="2:17" ht="20.25" customHeight="1">
      <c r="B21" s="98">
        <v>17</v>
      </c>
      <c r="C21" s="104">
        <f>('3 Vol'!D20/(1-'3 Vol'!G20)*(1000/365/24/60/60))</f>
        <v>27.107601257362482</v>
      </c>
      <c r="D21" s="104">
        <f>(('3 Vol'!D20*1.2)*1000/365/24/60/60)+Q21</f>
        <v>31.173741445966851</v>
      </c>
      <c r="E21" s="105">
        <f>(('3 Vol'!D20*1.2*1.5)*1000/365/24/60/60)+Q21</f>
        <v>43.372162011779977</v>
      </c>
      <c r="F21" s="108">
        <f t="shared" si="3"/>
        <v>1450</v>
      </c>
      <c r="G21" s="105">
        <f t="shared" si="0"/>
        <v>23.115841254615823</v>
      </c>
      <c r="H21" s="105">
        <f t="shared" si="1"/>
        <v>26.368753405499319</v>
      </c>
      <c r="I21" s="106">
        <f t="shared" si="2"/>
        <v>36.127489858149815</v>
      </c>
      <c r="L21" s="41">
        <v>17</v>
      </c>
      <c r="M21" s="591">
        <f t="shared" si="4"/>
        <v>0.25</v>
      </c>
      <c r="N21" s="112">
        <f>'3 Vol'!D20*1000/365/24/60/60</f>
        <v>20.33070094302186</v>
      </c>
      <c r="O21" s="122">
        <v>45675.203334655584</v>
      </c>
      <c r="P21" s="147">
        <f>'1 R1 Pop'!J21</f>
        <v>1</v>
      </c>
      <c r="Q21" s="592">
        <v>6.7769003143406188</v>
      </c>
    </row>
    <row r="22" spans="2:17" ht="20.25" customHeight="1">
      <c r="B22" s="98">
        <v>18</v>
      </c>
      <c r="C22" s="104">
        <f>('3 Vol'!D21/(1-'3 Vol'!G21)*(1000/365/24/60/60))</f>
        <v>27.139043544211408</v>
      </c>
      <c r="D22" s="104">
        <f>(('3 Vol'!D21*1.2)*1000/365/24/60/60)+Q22</f>
        <v>31.20990007584312</v>
      </c>
      <c r="E22" s="105">
        <f>(('3 Vol'!D21*1.2*1.5)*1000/365/24/60/60)+Q22</f>
        <v>43.422469670738245</v>
      </c>
      <c r="F22" s="108">
        <f t="shared" si="3"/>
        <v>1450</v>
      </c>
      <c r="G22" s="105">
        <f t="shared" si="0"/>
        <v>23.142620519643572</v>
      </c>
      <c r="H22" s="105">
        <f t="shared" si="1"/>
        <v>26.39930574494894</v>
      </c>
      <c r="I22" s="106">
        <f t="shared" si="2"/>
        <v>36.169361420865052</v>
      </c>
      <c r="L22" s="41">
        <v>18</v>
      </c>
      <c r="M22" s="591">
        <f t="shared" si="4"/>
        <v>0.25</v>
      </c>
      <c r="N22" s="112">
        <f>'3 Vol'!D21*1000/365/24/60/60</f>
        <v>20.354282658158557</v>
      </c>
      <c r="O22" s="122">
        <v>45727.962620778198</v>
      </c>
      <c r="P22" s="147">
        <f>'1 R1 Pop'!J22</f>
        <v>1</v>
      </c>
      <c r="Q22" s="592">
        <v>6.784760886052851</v>
      </c>
    </row>
    <row r="23" spans="2:17" s="89" customFormat="1" ht="20.25" customHeight="1">
      <c r="B23" s="98">
        <v>19</v>
      </c>
      <c r="C23" s="104">
        <f>('3 Vol'!D22/(1-'3 Vol'!G22)*(1000/365/24/60/60))</f>
        <v>27.170485831060322</v>
      </c>
      <c r="D23" s="104">
        <f>(('3 Vol'!D22*1.2)*1000/365/24/60/60)+Q23</f>
        <v>31.246058705719371</v>
      </c>
      <c r="E23" s="105">
        <f>(('3 Vol'!D22*1.2*1.5)*1000/365/24/60/60)+Q23</f>
        <v>43.47277732969652</v>
      </c>
      <c r="F23" s="108">
        <f t="shared" si="3"/>
        <v>1450</v>
      </c>
      <c r="G23" s="105">
        <f t="shared" si="0"/>
        <v>23.169399784671317</v>
      </c>
      <c r="H23" s="105">
        <f t="shared" si="1"/>
        <v>26.429858084398553</v>
      </c>
      <c r="I23" s="106">
        <f t="shared" si="2"/>
        <v>36.211232983580267</v>
      </c>
      <c r="J23" s="41"/>
      <c r="K23" s="41"/>
      <c r="L23" s="41">
        <v>19</v>
      </c>
      <c r="M23" s="591">
        <f t="shared" si="4"/>
        <v>0.25</v>
      </c>
      <c r="N23" s="112">
        <f>'3 Vol'!D22*1000/365/24/60/60</f>
        <v>20.377864373295242</v>
      </c>
      <c r="O23" s="122">
        <v>45780.721906900813</v>
      </c>
      <c r="P23" s="147">
        <f>'1 R1 Pop'!J23</f>
        <v>1</v>
      </c>
      <c r="Q23" s="592">
        <v>6.7926214577650796</v>
      </c>
    </row>
    <row r="24" spans="2:17" ht="20.25" customHeight="1">
      <c r="B24" s="98">
        <v>20</v>
      </c>
      <c r="C24" s="104">
        <f>('3 Vol'!D23/(1-'3 Vol'!G23)*(1000/365/24/60/60))</f>
        <v>27.201928117909244</v>
      </c>
      <c r="D24" s="104">
        <f>(('3 Vol'!D23*1.2)*1000/365/24/60/60)+Q24</f>
        <v>31.282217335595632</v>
      </c>
      <c r="E24" s="105">
        <f>(('3 Vol'!D23*1.2*1.5)*1000/365/24/60/60)+Q24</f>
        <v>43.523084988654787</v>
      </c>
      <c r="F24" s="108">
        <f t="shared" si="3"/>
        <v>1450</v>
      </c>
      <c r="G24" s="105">
        <f t="shared" si="0"/>
        <v>23.196179049699065</v>
      </c>
      <c r="H24" s="105">
        <f t="shared" si="1"/>
        <v>26.460410423848174</v>
      </c>
      <c r="I24" s="106">
        <f t="shared" si="2"/>
        <v>36.253104546295503</v>
      </c>
      <c r="L24" s="41">
        <v>20</v>
      </c>
      <c r="M24" s="591">
        <f t="shared" si="4"/>
        <v>0.25</v>
      </c>
      <c r="N24" s="112">
        <f>'3 Vol'!D23*1000/365/24/60/60</f>
        <v>20.401446088431936</v>
      </c>
      <c r="O24" s="122">
        <v>45833.481193023428</v>
      </c>
      <c r="P24" s="147">
        <f>'1 R1 Pop'!J24</f>
        <v>1</v>
      </c>
      <c r="Q24" s="592">
        <v>6.8004820294773118</v>
      </c>
    </row>
    <row r="25" spans="2:17" ht="20.25" customHeight="1">
      <c r="B25" s="98">
        <v>21</v>
      </c>
      <c r="C25" s="104">
        <f>('3 Vol'!D24/(1-'3 Vol'!G24)*(1000/365/24/60/60))</f>
        <v>27.240600249990923</v>
      </c>
      <c r="D25" s="104">
        <f>(('3 Vol'!D24*1.2)*1000/365/24/60/60)+Q25</f>
        <v>31.326690287489562</v>
      </c>
      <c r="E25" s="105">
        <f>(('3 Vol'!D24*1.2*1.5)*1000/365/24/60/60)+Q25</f>
        <v>43.584960399985476</v>
      </c>
      <c r="F25" s="108">
        <f t="shared" si="3"/>
        <v>1450</v>
      </c>
      <c r="G25" s="105">
        <f t="shared" si="0"/>
        <v>23.229248049565491</v>
      </c>
      <c r="H25" s="105">
        <f t="shared" si="1"/>
        <v>26.498120079564401</v>
      </c>
      <c r="I25" s="106">
        <f t="shared" si="2"/>
        <v>36.304736169561139</v>
      </c>
      <c r="L25" s="41">
        <v>21</v>
      </c>
      <c r="M25" s="591">
        <f t="shared" si="4"/>
        <v>0.25</v>
      </c>
      <c r="N25" s="112">
        <f>'3 Vol'!D24*1000/365/24/60/60</f>
        <v>20.430450187493197</v>
      </c>
      <c r="O25" s="122">
        <v>45899.252663806234</v>
      </c>
      <c r="P25" s="147">
        <f>'1 R1 Pop'!J25</f>
        <v>1</v>
      </c>
      <c r="Q25" s="592">
        <v>6.8101500624977298</v>
      </c>
    </row>
    <row r="26" spans="2:17" ht="20.25" customHeight="1">
      <c r="B26" s="98">
        <v>22</v>
      </c>
      <c r="C26" s="104">
        <f>('3 Vol'!D25/(1-'3 Vol'!G25)*(1000/365/24/60/60))</f>
        <v>27.267455332482335</v>
      </c>
      <c r="D26" s="104">
        <f>(('3 Vol'!D25*1.2)*1000/365/24/60/60)+Q26</f>
        <v>31.35757363235469</v>
      </c>
      <c r="E26" s="105">
        <f>(('3 Vol'!D25*1.2*1.5)*1000/365/24/60/60)+Q26</f>
        <v>43.62792853197174</v>
      </c>
      <c r="F26" s="108">
        <f t="shared" si="3"/>
        <v>1450</v>
      </c>
      <c r="G26" s="105">
        <f t="shared" si="0"/>
        <v>23.252111173364398</v>
      </c>
      <c r="H26" s="105">
        <f t="shared" si="1"/>
        <v>26.524205813262277</v>
      </c>
      <c r="I26" s="106">
        <f t="shared" si="2"/>
        <v>36.340489732955923</v>
      </c>
      <c r="L26" s="41">
        <v>22</v>
      </c>
      <c r="M26" s="591">
        <f t="shared" si="4"/>
        <v>0.25</v>
      </c>
      <c r="N26" s="112">
        <f>'3 Vol'!D25*1000/365/24/60/60</f>
        <v>20.450591499361753</v>
      </c>
      <c r="O26" s="122">
        <v>45944.253159166648</v>
      </c>
      <c r="P26" s="147">
        <f>'1 R1 Pop'!J26</f>
        <v>1</v>
      </c>
      <c r="Q26" s="592">
        <v>6.8168638331205855</v>
      </c>
    </row>
    <row r="27" spans="2:17" s="89" customFormat="1" ht="20.25" customHeight="1">
      <c r="B27" s="98">
        <v>23</v>
      </c>
      <c r="C27" s="104">
        <f>('3 Vol'!D26/(1-'3 Vol'!G26)*(1000/365/24/60/60))</f>
        <v>27.294310414973747</v>
      </c>
      <c r="D27" s="104">
        <f>(('3 Vol'!D26*1.2)*1000/365/24/60/60)+Q27</f>
        <v>31.388456977219807</v>
      </c>
      <c r="E27" s="105">
        <f>(('3 Vol'!D26*1.2*1.5)*1000/365/24/60/60)+Q27</f>
        <v>43.670896663957997</v>
      </c>
      <c r="F27" s="108">
        <f t="shared" si="3"/>
        <v>1450</v>
      </c>
      <c r="G27" s="105">
        <f t="shared" si="0"/>
        <v>23.274974297163311</v>
      </c>
      <c r="H27" s="105">
        <f t="shared" si="1"/>
        <v>26.55029154696016</v>
      </c>
      <c r="I27" s="106">
        <f t="shared" si="2"/>
        <v>36.376243296350715</v>
      </c>
      <c r="J27" s="41"/>
      <c r="K27" s="41"/>
      <c r="L27" s="41">
        <v>23</v>
      </c>
      <c r="M27" s="591">
        <f t="shared" si="4"/>
        <v>0.25</v>
      </c>
      <c r="N27" s="112">
        <f>'3 Vol'!D26*1000/365/24/60/60</f>
        <v>20.470732811230313</v>
      </c>
      <c r="O27" s="122">
        <v>45989.253654527085</v>
      </c>
      <c r="P27" s="147">
        <f>'1 R1 Pop'!J27</f>
        <v>1</v>
      </c>
      <c r="Q27" s="592">
        <v>6.8235776037434377</v>
      </c>
    </row>
    <row r="28" spans="2:17" s="89" customFormat="1" ht="20.25" customHeight="1">
      <c r="B28" s="98">
        <v>24</v>
      </c>
      <c r="C28" s="104">
        <f>('3 Vol'!D27/(1-'3 Vol'!G27)*(1000/365/24/60/60))</f>
        <v>27.321165497465163</v>
      </c>
      <c r="D28" s="104">
        <f>(('3 Vol'!D27*1.2)*1000/365/24/60/60)+Q28</f>
        <v>31.419340322084938</v>
      </c>
      <c r="E28" s="105">
        <f>(('3 Vol'!D27*1.2*1.5)*1000/365/24/60/60)+Q28</f>
        <v>43.713864795944254</v>
      </c>
      <c r="F28" s="108">
        <f t="shared" si="3"/>
        <v>1450</v>
      </c>
      <c r="G28" s="105">
        <f t="shared" si="0"/>
        <v>23.297837420962221</v>
      </c>
      <c r="H28" s="105">
        <f t="shared" si="1"/>
        <v>26.57637728065804</v>
      </c>
      <c r="I28" s="106">
        <f t="shared" si="2"/>
        <v>36.4119968597455</v>
      </c>
      <c r="J28" s="41"/>
      <c r="K28" s="41"/>
      <c r="L28" s="41">
        <v>24</v>
      </c>
      <c r="M28" s="591">
        <f t="shared" si="4"/>
        <v>0.25</v>
      </c>
      <c r="N28" s="112">
        <f>'3 Vol'!D27*1000/365/24/60/60</f>
        <v>20.490874123098873</v>
      </c>
      <c r="O28" s="122">
        <v>46034.2541498875</v>
      </c>
      <c r="P28" s="147">
        <f>'1 R1 Pop'!J28</f>
        <v>1</v>
      </c>
      <c r="Q28" s="592">
        <v>6.8302913743662899</v>
      </c>
    </row>
    <row r="29" spans="2:17" ht="20.25" customHeight="1">
      <c r="B29" s="98">
        <v>25</v>
      </c>
      <c r="C29" s="104">
        <f>('3 Vol'!D28/(1-'3 Vol'!G28)*(1000/365/24/60/60))</f>
        <v>27.348020579956572</v>
      </c>
      <c r="D29" s="104">
        <f>(('3 Vol'!D28*1.2)*1000/365/24/60/60)+Q29</f>
        <v>31.450223666950059</v>
      </c>
      <c r="E29" s="105">
        <f>(('3 Vol'!D28*1.2*1.5)*1000/365/24/60/60)+Q29</f>
        <v>43.756832927930517</v>
      </c>
      <c r="F29" s="108">
        <f t="shared" si="3"/>
        <v>1450</v>
      </c>
      <c r="G29" s="105">
        <f t="shared" si="0"/>
        <v>23.320700544761131</v>
      </c>
      <c r="H29" s="105">
        <f t="shared" si="1"/>
        <v>26.602463014355919</v>
      </c>
      <c r="I29" s="106">
        <f t="shared" si="2"/>
        <v>36.447750423140292</v>
      </c>
      <c r="L29" s="41">
        <v>25</v>
      </c>
      <c r="M29" s="591">
        <f t="shared" si="4"/>
        <v>0.25</v>
      </c>
      <c r="N29" s="112">
        <f>'3 Vol'!D28*1000/365/24/60/60</f>
        <v>20.511015434967433</v>
      </c>
      <c r="O29" s="122">
        <v>46079.254645247915</v>
      </c>
      <c r="P29" s="147">
        <f>'1 R1 Pop'!J29</f>
        <v>1</v>
      </c>
      <c r="Q29" s="592">
        <v>6.837005144989142</v>
      </c>
    </row>
    <row r="30" spans="2:17" ht="20.25" customHeight="1">
      <c r="B30" s="98">
        <v>26</v>
      </c>
      <c r="C30" s="104">
        <f>('3 Vol'!D29/(1-'3 Vol'!G29)*(1000/365/24/60/60))</f>
        <v>27.386692712038247</v>
      </c>
      <c r="D30" s="104">
        <f>(('3 Vol'!D29*1.2)*1000/365/24/60/60)+Q30</f>
        <v>31.494696618843985</v>
      </c>
      <c r="E30" s="105">
        <f>(('3 Vol'!D29*1.2*1.5)*1000/365/24/60/60)+Q30</f>
        <v>43.818708339261207</v>
      </c>
      <c r="F30" s="108">
        <f t="shared" si="3"/>
        <v>1450</v>
      </c>
      <c r="G30" s="105">
        <f t="shared" si="0"/>
        <v>23.353769562084928</v>
      </c>
      <c r="H30" s="105">
        <f t="shared" si="1"/>
        <v>26.640172687529514</v>
      </c>
      <c r="I30" s="106">
        <f t="shared" si="2"/>
        <v>36.499382063863287</v>
      </c>
      <c r="L30" s="41">
        <v>26</v>
      </c>
      <c r="M30" s="591">
        <f t="shared" si="4"/>
        <v>0.25</v>
      </c>
      <c r="N30" s="112">
        <f>'3 Vol'!D29*1000/365/24/60/60</f>
        <v>20.540019534028691</v>
      </c>
      <c r="O30" s="122">
        <v>46145.026232413162</v>
      </c>
      <c r="P30" s="147">
        <f>'1 R1 Pop'!J30</f>
        <v>1</v>
      </c>
      <c r="Q30" s="592">
        <v>6.8466731780095635</v>
      </c>
    </row>
    <row r="31" spans="2:17" ht="20.25" customHeight="1">
      <c r="B31" s="98">
        <v>27</v>
      </c>
      <c r="C31" s="104">
        <f>('3 Vol'!D30/(1-'3 Vol'!G30)*(1000/365/24/60/60))</f>
        <v>27.414854148097621</v>
      </c>
      <c r="D31" s="104">
        <f>(('3 Vol'!D30*1.2)*1000/365/24/60/60)+Q31</f>
        <v>31.52708227031226</v>
      </c>
      <c r="E31" s="105">
        <f>(('3 Vol'!D30*1.2*1.5)*1000/365/24/60/60)+Q31</f>
        <v>43.863766636956193</v>
      </c>
      <c r="F31" s="108">
        <f t="shared" si="3"/>
        <v>1450</v>
      </c>
      <c r="G31" s="105">
        <f t="shared" si="0"/>
        <v>23.377724279615414</v>
      </c>
      <c r="H31" s="105">
        <f t="shared" si="1"/>
        <v>26.667506777387128</v>
      </c>
      <c r="I31" s="106">
        <f t="shared" si="2"/>
        <v>36.536854270702271</v>
      </c>
      <c r="L31" s="41">
        <v>27</v>
      </c>
      <c r="M31" s="591">
        <f t="shared" si="4"/>
        <v>0.25</v>
      </c>
      <c r="N31" s="112">
        <f>'3 Vol'!D30*1000/365/24/60/60</f>
        <v>20.561140611073217</v>
      </c>
      <c r="O31" s="122">
        <v>46192.078605045601</v>
      </c>
      <c r="P31" s="147">
        <f>'1 R1 Pop'!J31</f>
        <v>1</v>
      </c>
      <c r="Q31" s="592">
        <v>6.8537135370244044</v>
      </c>
    </row>
    <row r="32" spans="2:17" ht="20.25" customHeight="1">
      <c r="B32" s="98">
        <v>28</v>
      </c>
      <c r="C32" s="104">
        <f>('3 Vol'!D31/(1-'3 Vol'!G31)*(1000/365/24/60/60))</f>
        <v>27.44368372781063</v>
      </c>
      <c r="D32" s="104">
        <f>(('3 Vol'!D31*1.2)*1000/365/24/60/60)+Q32</f>
        <v>31.560236286982228</v>
      </c>
      <c r="E32" s="105">
        <f>(('3 Vol'!D31*1.2*1.5)*1000/365/24/60/60)+Q32</f>
        <v>43.909893964497016</v>
      </c>
      <c r="F32" s="108">
        <f t="shared" si="3"/>
        <v>1450</v>
      </c>
      <c r="G32" s="105">
        <f t="shared" si="0"/>
        <v>23.402320472587075</v>
      </c>
      <c r="H32" s="105">
        <f t="shared" si="1"/>
        <v>26.695562519924348</v>
      </c>
      <c r="I32" s="106">
        <f t="shared" si="2"/>
        <v>36.57528866193617</v>
      </c>
      <c r="L32" s="41">
        <v>28</v>
      </c>
      <c r="M32" s="591">
        <f t="shared" si="4"/>
        <v>0.25</v>
      </c>
      <c r="N32" s="112">
        <f>'3 Vol'!D31*1000/365/24/60/60</f>
        <v>20.582762795857967</v>
      </c>
      <c r="O32" s="122">
        <v>46240.734906004662</v>
      </c>
      <c r="P32" s="147">
        <f>'1 R1 Pop'!J32</f>
        <v>1</v>
      </c>
      <c r="Q32" s="592">
        <v>6.8609209319526592</v>
      </c>
    </row>
    <row r="33" spans="2:17" ht="20.25" customHeight="1">
      <c r="B33" s="98">
        <v>29</v>
      </c>
      <c r="C33" s="104">
        <f>('3 Vol'!D32/(1-'3 Vol'!G32)*(1000/365/24/60/60))</f>
        <v>27.4738196610916</v>
      </c>
      <c r="D33" s="104">
        <f>(('3 Vol'!D32*1.2)*1000/365/24/60/60)+Q33</f>
        <v>31.594892610255339</v>
      </c>
      <c r="E33" s="105">
        <f>(('3 Vol'!D32*1.2*1.5)*1000/365/24/60/60)+Q33</f>
        <v>43.958111457746554</v>
      </c>
      <c r="F33" s="108">
        <f t="shared" si="3"/>
        <v>1450</v>
      </c>
      <c r="G33" s="105">
        <f t="shared" si="0"/>
        <v>23.428008215531772</v>
      </c>
      <c r="H33" s="105">
        <f t="shared" si="1"/>
        <v>26.724866574862762</v>
      </c>
      <c r="I33" s="106">
        <f t="shared" si="2"/>
        <v>36.615441652855736</v>
      </c>
      <c r="L33" s="41">
        <v>29</v>
      </c>
      <c r="M33" s="591">
        <f t="shared" si="4"/>
        <v>0.25</v>
      </c>
      <c r="N33" s="112">
        <f>'3 Vol'!D32*1000/365/24/60/60</f>
        <v>20.605364745818697</v>
      </c>
      <c r="O33" s="122">
        <v>46291.442792512105</v>
      </c>
      <c r="P33" s="147">
        <f>'1 R1 Pop'!J33</f>
        <v>1</v>
      </c>
      <c r="Q33" s="592">
        <v>6.8684549152728991</v>
      </c>
    </row>
    <row r="34" spans="2:17" ht="20.25" customHeight="1" thickBot="1">
      <c r="B34" s="100">
        <v>30</v>
      </c>
      <c r="C34" s="368">
        <f>('3 Vol'!D33/(1-'3 Vol'!G33)*(1000/365/24/60/60))</f>
        <v>27.490193981300031</v>
      </c>
      <c r="D34" s="380">
        <f>(('3 Vol'!D33*1.2)*1000/365/24/60/60)+Q34</f>
        <v>31.613723078495042</v>
      </c>
      <c r="E34" s="369">
        <f>(('3 Vol'!D33*1.2*1.5)*1000/365/24/60/60)+Q34</f>
        <v>43.984310370080053</v>
      </c>
      <c r="F34" s="370">
        <f t="shared" si="3"/>
        <v>1450</v>
      </c>
      <c r="G34" s="369">
        <f t="shared" si="0"/>
        <v>23.441946031469762</v>
      </c>
      <c r="H34" s="369">
        <f t="shared" si="1"/>
        <v>26.740769309225762</v>
      </c>
      <c r="I34" s="371">
        <f t="shared" si="2"/>
        <v>36.637239142493776</v>
      </c>
      <c r="L34" s="41">
        <v>30</v>
      </c>
      <c r="M34" s="593">
        <f t="shared" si="4"/>
        <v>0.25</v>
      </c>
      <c r="N34" s="594">
        <f>'3 Vol'!D33*1000/365/24/60/60</f>
        <v>20.617645485975018</v>
      </c>
      <c r="O34" s="124">
        <v>46318.864284598305</v>
      </c>
      <c r="P34" s="595">
        <f>'1 R1 Pop'!J34</f>
        <v>1</v>
      </c>
      <c r="Q34" s="596">
        <v>6.8725484953250096</v>
      </c>
    </row>
    <row r="35" spans="2:17">
      <c r="Q35" s="590">
        <v>6.8725484953250096</v>
      </c>
    </row>
  </sheetData>
  <mergeCells count="14">
    <mergeCell ref="Q3:Q4"/>
    <mergeCell ref="P3:P4"/>
    <mergeCell ref="O3:O4"/>
    <mergeCell ref="M3:M4"/>
    <mergeCell ref="N3:N4"/>
    <mergeCell ref="B1:I1"/>
    <mergeCell ref="H3:H4"/>
    <mergeCell ref="I3:I4"/>
    <mergeCell ref="B3:B4"/>
    <mergeCell ref="C3:C4"/>
    <mergeCell ref="D3:D4"/>
    <mergeCell ref="E3:E4"/>
    <mergeCell ref="F3:F4"/>
    <mergeCell ref="G3:G4"/>
  </mergeCells>
  <printOptions horizontalCentered="1"/>
  <pageMargins left="0.98425196850393704" right="0.59055118110236227" top="1.9685039370078741" bottom="1.0629921259842521" header="0.39370078740157483" footer="0.39370078740157483"/>
  <pageSetup paperSize="9" scale="67"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39">
    <tabColor rgb="FF00B050"/>
  </sheetPr>
  <dimension ref="B1:G100"/>
  <sheetViews>
    <sheetView showGridLines="0" workbookViewId="0">
      <selection activeCell="B20" sqref="B20"/>
    </sheetView>
  </sheetViews>
  <sheetFormatPr defaultColWidth="11.5703125" defaultRowHeight="12.75"/>
  <cols>
    <col min="1" max="1" width="2.7109375" style="47" customWidth="1"/>
    <col min="2" max="2" width="7.28515625" style="47" customWidth="1"/>
    <col min="3" max="7" width="14" style="47" customWidth="1"/>
    <col min="8" max="8" width="2.7109375" style="47" customWidth="1"/>
    <col min="9" max="257" width="11.5703125" style="47"/>
    <col min="258" max="258" width="7.28515625" style="47" customWidth="1"/>
    <col min="259" max="263" width="14" style="47" customWidth="1"/>
    <col min="264" max="513" width="11.5703125" style="47"/>
    <col min="514" max="514" width="7.28515625" style="47" customWidth="1"/>
    <col min="515" max="519" width="14" style="47" customWidth="1"/>
    <col min="520" max="769" width="11.5703125" style="47"/>
    <col min="770" max="770" width="7.28515625" style="47" customWidth="1"/>
    <col min="771" max="775" width="14" style="47" customWidth="1"/>
    <col min="776" max="1025" width="11.5703125" style="47"/>
    <col min="1026" max="1026" width="7.28515625" style="47" customWidth="1"/>
    <col min="1027" max="1031" width="14" style="47" customWidth="1"/>
    <col min="1032" max="1281" width="11.5703125" style="47"/>
    <col min="1282" max="1282" width="7.28515625" style="47" customWidth="1"/>
    <col min="1283" max="1287" width="14" style="47" customWidth="1"/>
    <col min="1288" max="1537" width="11.5703125" style="47"/>
    <col min="1538" max="1538" width="7.28515625" style="47" customWidth="1"/>
    <col min="1539" max="1543" width="14" style="47" customWidth="1"/>
    <col min="1544" max="1793" width="11.5703125" style="47"/>
    <col min="1794" max="1794" width="7.28515625" style="47" customWidth="1"/>
    <col min="1795" max="1799" width="14" style="47" customWidth="1"/>
    <col min="1800" max="2049" width="11.5703125" style="47"/>
    <col min="2050" max="2050" width="7.28515625" style="47" customWidth="1"/>
    <col min="2051" max="2055" width="14" style="47" customWidth="1"/>
    <col min="2056" max="2305" width="11.5703125" style="47"/>
    <col min="2306" max="2306" width="7.28515625" style="47" customWidth="1"/>
    <col min="2307" max="2311" width="14" style="47" customWidth="1"/>
    <col min="2312" max="2561" width="11.5703125" style="47"/>
    <col min="2562" max="2562" width="7.28515625" style="47" customWidth="1"/>
    <col min="2563" max="2567" width="14" style="47" customWidth="1"/>
    <col min="2568" max="2817" width="11.5703125" style="47"/>
    <col min="2818" max="2818" width="7.28515625" style="47" customWidth="1"/>
    <col min="2819" max="2823" width="14" style="47" customWidth="1"/>
    <col min="2824" max="3073" width="11.5703125" style="47"/>
    <col min="3074" max="3074" width="7.28515625" style="47" customWidth="1"/>
    <col min="3075" max="3079" width="14" style="47" customWidth="1"/>
    <col min="3080" max="3329" width="11.5703125" style="47"/>
    <col min="3330" max="3330" width="7.28515625" style="47" customWidth="1"/>
    <col min="3331" max="3335" width="14" style="47" customWidth="1"/>
    <col min="3336" max="3585" width="11.5703125" style="47"/>
    <col min="3586" max="3586" width="7.28515625" style="47" customWidth="1"/>
    <col min="3587" max="3591" width="14" style="47" customWidth="1"/>
    <col min="3592" max="3841" width="11.5703125" style="47"/>
    <col min="3842" max="3842" width="7.28515625" style="47" customWidth="1"/>
    <col min="3843" max="3847" width="14" style="47" customWidth="1"/>
    <col min="3848" max="4097" width="11.5703125" style="47"/>
    <col min="4098" max="4098" width="7.28515625" style="47" customWidth="1"/>
    <col min="4099" max="4103" width="14" style="47" customWidth="1"/>
    <col min="4104" max="4353" width="11.5703125" style="47"/>
    <col min="4354" max="4354" width="7.28515625" style="47" customWidth="1"/>
    <col min="4355" max="4359" width="14" style="47" customWidth="1"/>
    <col min="4360" max="4609" width="11.5703125" style="47"/>
    <col min="4610" max="4610" width="7.28515625" style="47" customWidth="1"/>
    <col min="4611" max="4615" width="14" style="47" customWidth="1"/>
    <col min="4616" max="4865" width="11.5703125" style="47"/>
    <col min="4866" max="4866" width="7.28515625" style="47" customWidth="1"/>
    <col min="4867" max="4871" width="14" style="47" customWidth="1"/>
    <col min="4872" max="5121" width="11.5703125" style="47"/>
    <col min="5122" max="5122" width="7.28515625" style="47" customWidth="1"/>
    <col min="5123" max="5127" width="14" style="47" customWidth="1"/>
    <col min="5128" max="5377" width="11.5703125" style="47"/>
    <col min="5378" max="5378" width="7.28515625" style="47" customWidth="1"/>
    <col min="5379" max="5383" width="14" style="47" customWidth="1"/>
    <col min="5384" max="5633" width="11.5703125" style="47"/>
    <col min="5634" max="5634" width="7.28515625" style="47" customWidth="1"/>
    <col min="5635" max="5639" width="14" style="47" customWidth="1"/>
    <col min="5640" max="5889" width="11.5703125" style="47"/>
    <col min="5890" max="5890" width="7.28515625" style="47" customWidth="1"/>
    <col min="5891" max="5895" width="14" style="47" customWidth="1"/>
    <col min="5896" max="6145" width="11.5703125" style="47"/>
    <col min="6146" max="6146" width="7.28515625" style="47" customWidth="1"/>
    <col min="6147" max="6151" width="14" style="47" customWidth="1"/>
    <col min="6152" max="6401" width="11.5703125" style="47"/>
    <col min="6402" max="6402" width="7.28515625" style="47" customWidth="1"/>
    <col min="6403" max="6407" width="14" style="47" customWidth="1"/>
    <col min="6408" max="6657" width="11.5703125" style="47"/>
    <col min="6658" max="6658" width="7.28515625" style="47" customWidth="1"/>
    <col min="6659" max="6663" width="14" style="47" customWidth="1"/>
    <col min="6664" max="6913" width="11.5703125" style="47"/>
    <col min="6914" max="6914" width="7.28515625" style="47" customWidth="1"/>
    <col min="6915" max="6919" width="14" style="47" customWidth="1"/>
    <col min="6920" max="7169" width="11.5703125" style="47"/>
    <col min="7170" max="7170" width="7.28515625" style="47" customWidth="1"/>
    <col min="7171" max="7175" width="14" style="47" customWidth="1"/>
    <col min="7176" max="7425" width="11.5703125" style="47"/>
    <col min="7426" max="7426" width="7.28515625" style="47" customWidth="1"/>
    <col min="7427" max="7431" width="14" style="47" customWidth="1"/>
    <col min="7432" max="7681" width="11.5703125" style="47"/>
    <col min="7682" max="7682" width="7.28515625" style="47" customWidth="1"/>
    <col min="7683" max="7687" width="14" style="47" customWidth="1"/>
    <col min="7688" max="7937" width="11.5703125" style="47"/>
    <col min="7938" max="7938" width="7.28515625" style="47" customWidth="1"/>
    <col min="7939" max="7943" width="14" style="47" customWidth="1"/>
    <col min="7944" max="8193" width="11.5703125" style="47"/>
    <col min="8194" max="8194" width="7.28515625" style="47" customWidth="1"/>
    <col min="8195" max="8199" width="14" style="47" customWidth="1"/>
    <col min="8200" max="8449" width="11.5703125" style="47"/>
    <col min="8450" max="8450" width="7.28515625" style="47" customWidth="1"/>
    <col min="8451" max="8455" width="14" style="47" customWidth="1"/>
    <col min="8456" max="8705" width="11.5703125" style="47"/>
    <col min="8706" max="8706" width="7.28515625" style="47" customWidth="1"/>
    <col min="8707" max="8711" width="14" style="47" customWidth="1"/>
    <col min="8712" max="8961" width="11.5703125" style="47"/>
    <col min="8962" max="8962" width="7.28515625" style="47" customWidth="1"/>
    <col min="8963" max="8967" width="14" style="47" customWidth="1"/>
    <col min="8968" max="9217" width="11.5703125" style="47"/>
    <col min="9218" max="9218" width="7.28515625" style="47" customWidth="1"/>
    <col min="9219" max="9223" width="14" style="47" customWidth="1"/>
    <col min="9224" max="9473" width="11.5703125" style="47"/>
    <col min="9474" max="9474" width="7.28515625" style="47" customWidth="1"/>
    <col min="9475" max="9479" width="14" style="47" customWidth="1"/>
    <col min="9480" max="9729" width="11.5703125" style="47"/>
    <col min="9730" max="9730" width="7.28515625" style="47" customWidth="1"/>
    <col min="9731" max="9735" width="14" style="47" customWidth="1"/>
    <col min="9736" max="9985" width="11.5703125" style="47"/>
    <col min="9986" max="9986" width="7.28515625" style="47" customWidth="1"/>
    <col min="9987" max="9991" width="14" style="47" customWidth="1"/>
    <col min="9992" max="10241" width="11.5703125" style="47"/>
    <col min="10242" max="10242" width="7.28515625" style="47" customWidth="1"/>
    <col min="10243" max="10247" width="14" style="47" customWidth="1"/>
    <col min="10248" max="10497" width="11.5703125" style="47"/>
    <col min="10498" max="10498" width="7.28515625" style="47" customWidth="1"/>
    <col min="10499" max="10503" width="14" style="47" customWidth="1"/>
    <col min="10504" max="10753" width="11.5703125" style="47"/>
    <col min="10754" max="10754" width="7.28515625" style="47" customWidth="1"/>
    <col min="10755" max="10759" width="14" style="47" customWidth="1"/>
    <col min="10760" max="11009" width="11.5703125" style="47"/>
    <col min="11010" max="11010" width="7.28515625" style="47" customWidth="1"/>
    <col min="11011" max="11015" width="14" style="47" customWidth="1"/>
    <col min="11016" max="11265" width="11.5703125" style="47"/>
    <col min="11266" max="11266" width="7.28515625" style="47" customWidth="1"/>
    <col min="11267" max="11271" width="14" style="47" customWidth="1"/>
    <col min="11272" max="11521" width="11.5703125" style="47"/>
    <col min="11522" max="11522" width="7.28515625" style="47" customWidth="1"/>
    <col min="11523" max="11527" width="14" style="47" customWidth="1"/>
    <col min="11528" max="11777" width="11.5703125" style="47"/>
    <col min="11778" max="11778" width="7.28515625" style="47" customWidth="1"/>
    <col min="11779" max="11783" width="14" style="47" customWidth="1"/>
    <col min="11784" max="12033" width="11.5703125" style="47"/>
    <col min="12034" max="12034" width="7.28515625" style="47" customWidth="1"/>
    <col min="12035" max="12039" width="14" style="47" customWidth="1"/>
    <col min="12040" max="12289" width="11.5703125" style="47"/>
    <col min="12290" max="12290" width="7.28515625" style="47" customWidth="1"/>
    <col min="12291" max="12295" width="14" style="47" customWidth="1"/>
    <col min="12296" max="12545" width="11.5703125" style="47"/>
    <col min="12546" max="12546" width="7.28515625" style="47" customWidth="1"/>
    <col min="12547" max="12551" width="14" style="47" customWidth="1"/>
    <col min="12552" max="12801" width="11.5703125" style="47"/>
    <col min="12802" max="12802" width="7.28515625" style="47" customWidth="1"/>
    <col min="12803" max="12807" width="14" style="47" customWidth="1"/>
    <col min="12808" max="13057" width="11.5703125" style="47"/>
    <col min="13058" max="13058" width="7.28515625" style="47" customWidth="1"/>
    <col min="13059" max="13063" width="14" style="47" customWidth="1"/>
    <col min="13064" max="13313" width="11.5703125" style="47"/>
    <col min="13314" max="13314" width="7.28515625" style="47" customWidth="1"/>
    <col min="13315" max="13319" width="14" style="47" customWidth="1"/>
    <col min="13320" max="13569" width="11.5703125" style="47"/>
    <col min="13570" max="13570" width="7.28515625" style="47" customWidth="1"/>
    <col min="13571" max="13575" width="14" style="47" customWidth="1"/>
    <col min="13576" max="13825" width="11.5703125" style="47"/>
    <col min="13826" max="13826" width="7.28515625" style="47" customWidth="1"/>
    <col min="13827" max="13831" width="14" style="47" customWidth="1"/>
    <col min="13832" max="14081" width="11.5703125" style="47"/>
    <col min="14082" max="14082" width="7.28515625" style="47" customWidth="1"/>
    <col min="14083" max="14087" width="14" style="47" customWidth="1"/>
    <col min="14088" max="14337" width="11.5703125" style="47"/>
    <col min="14338" max="14338" width="7.28515625" style="47" customWidth="1"/>
    <col min="14339" max="14343" width="14" style="47" customWidth="1"/>
    <col min="14344" max="14593" width="11.5703125" style="47"/>
    <col min="14594" max="14594" width="7.28515625" style="47" customWidth="1"/>
    <col min="14595" max="14599" width="14" style="47" customWidth="1"/>
    <col min="14600" max="14849" width="11.5703125" style="47"/>
    <col min="14850" max="14850" width="7.28515625" style="47" customWidth="1"/>
    <col min="14851" max="14855" width="14" style="47" customWidth="1"/>
    <col min="14856" max="15105" width="11.5703125" style="47"/>
    <col min="15106" max="15106" width="7.28515625" style="47" customWidth="1"/>
    <col min="15107" max="15111" width="14" style="47" customWidth="1"/>
    <col min="15112" max="15361" width="11.5703125" style="47"/>
    <col min="15362" max="15362" width="7.28515625" style="47" customWidth="1"/>
    <col min="15363" max="15367" width="14" style="47" customWidth="1"/>
    <col min="15368" max="15617" width="11.5703125" style="47"/>
    <col min="15618" max="15618" width="7.28515625" style="47" customWidth="1"/>
    <col min="15619" max="15623" width="14" style="47" customWidth="1"/>
    <col min="15624" max="15873" width="11.5703125" style="47"/>
    <col min="15874" max="15874" width="7.28515625" style="47" customWidth="1"/>
    <col min="15875" max="15879" width="14" style="47" customWidth="1"/>
    <col min="15880" max="16129" width="11.5703125" style="47"/>
    <col min="16130" max="16130" width="7.28515625" style="47" customWidth="1"/>
    <col min="16131" max="16135" width="14" style="47" customWidth="1"/>
    <col min="16136" max="16384" width="11.5703125" style="47"/>
  </cols>
  <sheetData>
    <row r="1" spans="2:7" s="42" customFormat="1" ht="30" customHeight="1">
      <c r="B1" s="89" t="s">
        <v>52</v>
      </c>
      <c r="D1" s="113"/>
      <c r="E1" s="113"/>
      <c r="F1" s="113"/>
      <c r="G1" s="113"/>
    </row>
    <row r="2" spans="2:7" ht="6.75" customHeight="1" thickBot="1">
      <c r="B2" s="114"/>
      <c r="C2" s="113"/>
      <c r="D2" s="113"/>
      <c r="E2" s="113"/>
      <c r="F2" s="113"/>
      <c r="G2" s="113"/>
    </row>
    <row r="3" spans="2:7" ht="21.75" customHeight="1" thickBot="1">
      <c r="B3" s="1241" t="s">
        <v>1</v>
      </c>
      <c r="C3" s="1243" t="s">
        <v>36</v>
      </c>
      <c r="D3" s="1245" t="s">
        <v>37</v>
      </c>
      <c r="E3" s="1246"/>
      <c r="F3" s="1245" t="s">
        <v>38</v>
      </c>
      <c r="G3" s="1246"/>
    </row>
    <row r="4" spans="2:7" s="72" customFormat="1" ht="45.75" customHeight="1" thickBot="1">
      <c r="B4" s="1242"/>
      <c r="C4" s="1244"/>
      <c r="D4" s="48" t="s">
        <v>39</v>
      </c>
      <c r="E4" s="48" t="s">
        <v>344</v>
      </c>
      <c r="F4" s="48" t="s">
        <v>40</v>
      </c>
      <c r="G4" s="48" t="s">
        <v>41</v>
      </c>
    </row>
    <row r="5" spans="2:7" ht="20.25" customHeight="1">
      <c r="B5" s="115">
        <v>1</v>
      </c>
      <c r="C5" s="82">
        <f>'3 Vol'!C4</f>
        <v>1153299.4359067942</v>
      </c>
      <c r="D5" s="381">
        <f>'3 Vol'!E4</f>
        <v>576649.71795339708</v>
      </c>
      <c r="E5" s="117">
        <f>(C5-D5)/C5</f>
        <v>0.5</v>
      </c>
      <c r="F5" s="381">
        <f>'3 Vol'!F4</f>
        <v>721108.36546377453</v>
      </c>
      <c r="G5" s="382">
        <f>(C5-F5)/C5</f>
        <v>0.374743156015857</v>
      </c>
    </row>
    <row r="6" spans="2:7" ht="20.25" customHeight="1">
      <c r="B6" s="118">
        <v>2</v>
      </c>
      <c r="C6" s="82">
        <f>'3 Vol'!C5</f>
        <v>1087946.0179781113</v>
      </c>
      <c r="D6" s="381">
        <f>'3 Vol'!E5</f>
        <v>587490.84970818018</v>
      </c>
      <c r="E6" s="117">
        <f t="shared" ref="E6:E34" si="0">(C6-D6)/C6</f>
        <v>0.45999999999999991</v>
      </c>
      <c r="F6" s="381">
        <f>'3 Vol'!F5</f>
        <v>734665.34911619837</v>
      </c>
      <c r="G6" s="382">
        <f t="shared" ref="G6:G34" si="1">(C6-F6)/C6</f>
        <v>0.32472260849712553</v>
      </c>
    </row>
    <row r="7" spans="2:7" ht="20.25" customHeight="1">
      <c r="B7" s="118">
        <v>3</v>
      </c>
      <c r="C7" s="82">
        <f>'3 Vol'!C6</f>
        <v>997277.46023463074</v>
      </c>
      <c r="D7" s="381">
        <f>'3 Vol'!E6</f>
        <v>598366.4761407784</v>
      </c>
      <c r="E7" s="117">
        <f t="shared" si="0"/>
        <v>0.4</v>
      </c>
      <c r="F7" s="381">
        <f>'3 Vol'!F6</f>
        <v>748265.46883539215</v>
      </c>
      <c r="G7" s="382">
        <f t="shared" si="1"/>
        <v>0.24969178721902852</v>
      </c>
    </row>
    <row r="8" spans="2:7" ht="20.25" customHeight="1">
      <c r="B8" s="118">
        <v>4</v>
      </c>
      <c r="C8" s="82">
        <f>'3 Vol'!C7</f>
        <v>937395.71084783855</v>
      </c>
      <c r="D8" s="381">
        <f>'3 Vol'!E7</f>
        <v>609307.21205109498</v>
      </c>
      <c r="E8" s="117">
        <f t="shared" si="0"/>
        <v>0.35000000000000009</v>
      </c>
      <c r="F8" s="381">
        <f>'3 Vol'!F7</f>
        <v>761947.00884768926</v>
      </c>
      <c r="G8" s="382">
        <f t="shared" si="1"/>
        <v>0.18716610282061422</v>
      </c>
    </row>
    <row r="9" spans="2:7" ht="20.25" customHeight="1">
      <c r="B9" s="65">
        <v>5</v>
      </c>
      <c r="C9" s="82">
        <f>'3 Vol'!C8</f>
        <v>885987.85212970909</v>
      </c>
      <c r="D9" s="381">
        <f>'3 Vol'!E8</f>
        <v>620191.49649079633</v>
      </c>
      <c r="E9" s="117">
        <f t="shared" si="0"/>
        <v>0.30000000000000004</v>
      </c>
      <c r="F9" s="381">
        <f>'3 Vol'!F8</f>
        <v>775557.955523276</v>
      </c>
      <c r="G9" s="382">
        <f t="shared" si="1"/>
        <v>0.12464041842219988</v>
      </c>
    </row>
    <row r="10" spans="2:7" ht="20.25" customHeight="1">
      <c r="B10" s="65">
        <v>6</v>
      </c>
      <c r="C10" s="82">
        <f>'3 Vol'!C9</f>
        <v>876582.27187373373</v>
      </c>
      <c r="D10" s="381">
        <f>'3 Vol'!E9</f>
        <v>631139.23574908834</v>
      </c>
      <c r="E10" s="117">
        <f t="shared" si="0"/>
        <v>0.27999999999999992</v>
      </c>
      <c r="F10" s="381">
        <f>'3 Vol'!F9</f>
        <v>789248.253318078</v>
      </c>
      <c r="G10" s="382">
        <f t="shared" si="1"/>
        <v>9.9630144662833944E-2</v>
      </c>
    </row>
    <row r="11" spans="2:7" ht="20.25" customHeight="1">
      <c r="B11" s="65">
        <v>7</v>
      </c>
      <c r="C11" s="82">
        <f>'3 Vol'!C10</f>
        <v>854189.05653049541</v>
      </c>
      <c r="D11" s="381">
        <f>'3 Vol'!E10</f>
        <v>632099.9018325666</v>
      </c>
      <c r="E11" s="117">
        <f t="shared" si="0"/>
        <v>0.26</v>
      </c>
      <c r="F11" s="381">
        <f>'3 Vol'!F10</f>
        <v>790449.57940503443</v>
      </c>
      <c r="G11" s="382">
        <f t="shared" si="1"/>
        <v>7.4619870903468333E-2</v>
      </c>
    </row>
    <row r="12" spans="2:7" ht="20.25" customHeight="1">
      <c r="B12" s="65">
        <v>8</v>
      </c>
      <c r="C12" s="82">
        <f>'3 Vol'!C11</f>
        <v>844080.75722139317</v>
      </c>
      <c r="D12" s="381">
        <f>'3 Vol'!E11</f>
        <v>633060.56791604485</v>
      </c>
      <c r="E12" s="117">
        <f t="shared" si="0"/>
        <v>0.25000000000000006</v>
      </c>
      <c r="F12" s="381">
        <f>'3 Vol'!F11</f>
        <v>791650.90549199085</v>
      </c>
      <c r="G12" s="382">
        <f t="shared" si="1"/>
        <v>6.2114734023785527E-2</v>
      </c>
    </row>
    <row r="13" spans="2:7" ht="20.25" customHeight="1">
      <c r="B13" s="65">
        <v>9</v>
      </c>
      <c r="C13" s="82">
        <f>'3 Vol'!C12</f>
        <v>845361.64533269766</v>
      </c>
      <c r="D13" s="381">
        <f>'3 Vol'!E12</f>
        <v>634021.23399952333</v>
      </c>
      <c r="E13" s="117">
        <f t="shared" si="0"/>
        <v>0.24999999999999989</v>
      </c>
      <c r="F13" s="381">
        <f>'3 Vol'!F12</f>
        <v>792852.23157894751</v>
      </c>
      <c r="G13" s="382">
        <f t="shared" si="1"/>
        <v>6.2114734023785437E-2</v>
      </c>
    </row>
    <row r="14" spans="2:7" ht="20.25" customHeight="1">
      <c r="B14" s="65">
        <v>10</v>
      </c>
      <c r="C14" s="82">
        <f>'3 Vol'!C13</f>
        <v>846704.80118838232</v>
      </c>
      <c r="D14" s="381">
        <f>'3 Vol'!E13</f>
        <v>635028.60089128674</v>
      </c>
      <c r="E14" s="117">
        <f t="shared" si="0"/>
        <v>0.25</v>
      </c>
      <c r="F14" s="381">
        <f>'3 Vol'!F13</f>
        <v>794111.95766590373</v>
      </c>
      <c r="G14" s="382">
        <f t="shared" si="1"/>
        <v>6.2114734023785555E-2</v>
      </c>
    </row>
    <row r="15" spans="2:7" ht="20.25" customHeight="1">
      <c r="B15" s="65">
        <v>11</v>
      </c>
      <c r="C15" s="82">
        <f>'3 Vol'!C14</f>
        <v>848026.88646580593</v>
      </c>
      <c r="D15" s="381">
        <f>'3 Vol'!E14</f>
        <v>636020.16484935442</v>
      </c>
      <c r="E15" s="117">
        <f t="shared" si="0"/>
        <v>0.25000000000000006</v>
      </c>
      <c r="F15" s="381">
        <f>'3 Vol'!F14</f>
        <v>795351.92196796346</v>
      </c>
      <c r="G15" s="382">
        <f t="shared" si="1"/>
        <v>6.2114734023785499E-2</v>
      </c>
    </row>
    <row r="16" spans="2:7" ht="20.25" customHeight="1">
      <c r="B16" s="65">
        <v>12</v>
      </c>
      <c r="C16" s="82">
        <f>'3 Vol'!C15</f>
        <v>849245.50683272991</v>
      </c>
      <c r="D16" s="381">
        <f>'3 Vol'!E15</f>
        <v>636934.1301245474</v>
      </c>
      <c r="E16" s="117">
        <f t="shared" si="0"/>
        <v>0.25000000000000006</v>
      </c>
      <c r="F16" s="381">
        <f>'3 Vol'!F15</f>
        <v>796494.84805491997</v>
      </c>
      <c r="G16" s="382">
        <f t="shared" si="1"/>
        <v>6.2114734023785506E-2</v>
      </c>
    </row>
    <row r="17" spans="2:7" ht="20.25" customHeight="1">
      <c r="B17" s="65">
        <v>13</v>
      </c>
      <c r="C17" s="82">
        <f>'3 Vol'!C16</f>
        <v>850464.12719965365</v>
      </c>
      <c r="D17" s="381">
        <f>'3 Vol'!E16</f>
        <v>637848.09539974038</v>
      </c>
      <c r="E17" s="117">
        <f t="shared" si="0"/>
        <v>0.24999999999999983</v>
      </c>
      <c r="F17" s="381">
        <f>'3 Vol'!F16</f>
        <v>797637.77414187649</v>
      </c>
      <c r="G17" s="382">
        <f t="shared" si="1"/>
        <v>6.2114734023785256E-2</v>
      </c>
    </row>
    <row r="18" spans="2:7" ht="20.25" customHeight="1">
      <c r="B18" s="65">
        <v>14</v>
      </c>
      <c r="C18" s="82">
        <f>'3 Vol'!C17</f>
        <v>851682.74756657786</v>
      </c>
      <c r="D18" s="381">
        <f>'3 Vol'!E17</f>
        <v>638762.06067493348</v>
      </c>
      <c r="E18" s="117">
        <f t="shared" si="0"/>
        <v>0.24999999999999989</v>
      </c>
      <c r="F18" s="381">
        <f>'3 Vol'!F17</f>
        <v>798780.70022883313</v>
      </c>
      <c r="G18" s="382">
        <f t="shared" si="1"/>
        <v>6.2114734023785388E-2</v>
      </c>
    </row>
    <row r="19" spans="2:7" ht="20.25" customHeight="1">
      <c r="B19" s="65">
        <v>15</v>
      </c>
      <c r="C19" s="82">
        <f>'3 Vol'!C18</f>
        <v>852901.36793350184</v>
      </c>
      <c r="D19" s="381">
        <f>'3 Vol'!E18</f>
        <v>639676.02595012647</v>
      </c>
      <c r="E19" s="117">
        <f t="shared" si="0"/>
        <v>0.24999999999999989</v>
      </c>
      <c r="F19" s="381">
        <f>'3 Vol'!F18</f>
        <v>799923.62631578965</v>
      </c>
      <c r="G19" s="382">
        <f t="shared" si="1"/>
        <v>6.2114734023785395E-2</v>
      </c>
    </row>
    <row r="20" spans="2:7" ht="20.25" customHeight="1">
      <c r="B20" s="65">
        <v>16</v>
      </c>
      <c r="C20" s="82">
        <f>'3 Vol'!C19</f>
        <v>853873.7492941157</v>
      </c>
      <c r="D20" s="381">
        <f>'3 Vol'!E19</f>
        <v>640405.31197058677</v>
      </c>
      <c r="E20" s="117">
        <f>(C20-D20)/C20</f>
        <v>0.25</v>
      </c>
      <c r="F20" s="381">
        <f>'3 Vol'!F19</f>
        <v>800835.60846681916</v>
      </c>
      <c r="G20" s="382">
        <f t="shared" si="1"/>
        <v>6.2114734023785541E-2</v>
      </c>
    </row>
    <row r="21" spans="2:7" ht="20.25" customHeight="1">
      <c r="B21" s="65">
        <v>17</v>
      </c>
      <c r="C21" s="82">
        <f>'3 Vol'!C20</f>
        <v>854865.31325218326</v>
      </c>
      <c r="D21" s="381">
        <f>'3 Vol'!E20</f>
        <v>641148.98493913736</v>
      </c>
      <c r="E21" s="117">
        <f t="shared" si="0"/>
        <v>0.25000000000000011</v>
      </c>
      <c r="F21" s="381">
        <f>'3 Vol'!F20</f>
        <v>801765.58169336373</v>
      </c>
      <c r="G21" s="382">
        <f t="shared" si="1"/>
        <v>6.2114734023785617E-2</v>
      </c>
    </row>
    <row r="22" spans="2:7" ht="20.25" customHeight="1">
      <c r="B22" s="65">
        <v>18</v>
      </c>
      <c r="C22" s="82">
        <f>'3 Vol'!C21</f>
        <v>855856.87721025094</v>
      </c>
      <c r="D22" s="381">
        <f>'3 Vol'!E21</f>
        <v>641892.65790768818</v>
      </c>
      <c r="E22" s="117">
        <f t="shared" si="0"/>
        <v>0.25000000000000006</v>
      </c>
      <c r="F22" s="381">
        <f>'3 Vol'!F21</f>
        <v>802695.55491990852</v>
      </c>
      <c r="G22" s="382">
        <f t="shared" si="1"/>
        <v>6.2114734023785541E-2</v>
      </c>
    </row>
    <row r="23" spans="2:7" s="72" customFormat="1" ht="20.25" customHeight="1">
      <c r="B23" s="65">
        <v>19</v>
      </c>
      <c r="C23" s="82">
        <f>'3 Vol'!C22</f>
        <v>856848.44116831839</v>
      </c>
      <c r="D23" s="381">
        <f>'3 Vol'!E22</f>
        <v>642636.33087623888</v>
      </c>
      <c r="E23" s="117">
        <f t="shared" si="0"/>
        <v>0.24999999999999989</v>
      </c>
      <c r="F23" s="381">
        <f>'3 Vol'!F22</f>
        <v>803625.5281464532</v>
      </c>
      <c r="G23" s="382">
        <f t="shared" si="1"/>
        <v>6.2114734023785347E-2</v>
      </c>
    </row>
    <row r="24" spans="2:7" ht="20.25" customHeight="1">
      <c r="B24" s="65">
        <v>20</v>
      </c>
      <c r="C24" s="82">
        <f>'3 Vol'!C23</f>
        <v>857840.00512638595</v>
      </c>
      <c r="D24" s="381">
        <f>'3 Vol'!E23</f>
        <v>643380.00384478946</v>
      </c>
      <c r="E24" s="117">
        <f t="shared" si="0"/>
        <v>0.25</v>
      </c>
      <c r="F24" s="381">
        <f>'3 Vol'!F23</f>
        <v>804555.50137299765</v>
      </c>
      <c r="G24" s="382">
        <f t="shared" si="1"/>
        <v>6.2114734023785555E-2</v>
      </c>
    </row>
    <row r="25" spans="2:7" ht="20.25" customHeight="1">
      <c r="B25" s="65">
        <v>21</v>
      </c>
      <c r="C25" s="82">
        <f>'3 Vol'!C24</f>
        <v>859059.56948371383</v>
      </c>
      <c r="D25" s="381">
        <f>'3 Vol'!E24</f>
        <v>644294.67711278528</v>
      </c>
      <c r="E25" s="117">
        <f t="shared" si="0"/>
        <v>0.25000000000000011</v>
      </c>
      <c r="F25" s="381">
        <f>'3 Vol'!F24</f>
        <v>805699.31281464512</v>
      </c>
      <c r="G25" s="382">
        <f t="shared" si="1"/>
        <v>6.2114734023785673E-2</v>
      </c>
    </row>
    <row r="26" spans="2:7" ht="20.25" customHeight="1">
      <c r="B26" s="65">
        <v>22</v>
      </c>
      <c r="C26" s="82">
        <f>'3 Vol'!C25</f>
        <v>859906.47136516299</v>
      </c>
      <c r="D26" s="381">
        <f>'3 Vol'!E25</f>
        <v>644929.85352387221</v>
      </c>
      <c r="E26" s="117">
        <f t="shared" si="0"/>
        <v>0.25000000000000006</v>
      </c>
      <c r="F26" s="381">
        <f>'3 Vol'!F25</f>
        <v>806493.60961098387</v>
      </c>
      <c r="G26" s="382">
        <f t="shared" si="1"/>
        <v>6.211473402378561E-2</v>
      </c>
    </row>
    <row r="27" spans="2:7" s="72" customFormat="1" ht="20.25" customHeight="1">
      <c r="B27" s="65">
        <v>23</v>
      </c>
      <c r="C27" s="82">
        <f>'3 Vol'!C26</f>
        <v>860753.37324661214</v>
      </c>
      <c r="D27" s="381">
        <f>'3 Vol'!E26</f>
        <v>645565.02993495914</v>
      </c>
      <c r="E27" s="117">
        <f t="shared" si="0"/>
        <v>0.24999999999999997</v>
      </c>
      <c r="F27" s="381">
        <f>'3 Vol'!F26</f>
        <v>807287.90640732273</v>
      </c>
      <c r="G27" s="382">
        <f t="shared" si="1"/>
        <v>6.2114734023785416E-2</v>
      </c>
    </row>
    <row r="28" spans="2:7" s="72" customFormat="1" ht="20.25" customHeight="1">
      <c r="B28" s="65">
        <v>24</v>
      </c>
      <c r="C28" s="82">
        <f>'3 Vol'!C27</f>
        <v>861600.27512806142</v>
      </c>
      <c r="D28" s="381">
        <f>'3 Vol'!E27</f>
        <v>646200.20634604595</v>
      </c>
      <c r="E28" s="117">
        <f t="shared" si="0"/>
        <v>0.25000000000000011</v>
      </c>
      <c r="F28" s="381">
        <f>'3 Vol'!F27</f>
        <v>808082.20320366137</v>
      </c>
      <c r="G28" s="382">
        <f t="shared" si="1"/>
        <v>6.2114734023785624E-2</v>
      </c>
    </row>
    <row r="29" spans="2:7" ht="20.25" customHeight="1">
      <c r="B29" s="65">
        <v>25</v>
      </c>
      <c r="C29" s="82">
        <f>'3 Vol'!C28</f>
        <v>862447.17700951046</v>
      </c>
      <c r="D29" s="381">
        <f>'3 Vol'!E28</f>
        <v>646835.38275713287</v>
      </c>
      <c r="E29" s="117">
        <f t="shared" si="0"/>
        <v>0.24999999999999997</v>
      </c>
      <c r="F29" s="381">
        <f>'3 Vol'!F28</f>
        <v>808876.50000000012</v>
      </c>
      <c r="G29" s="382">
        <f t="shared" si="1"/>
        <v>6.2114734023785437E-2</v>
      </c>
    </row>
    <row r="30" spans="2:7" ht="20.25" customHeight="1">
      <c r="B30" s="65">
        <v>26</v>
      </c>
      <c r="C30" s="82">
        <f>'3 Vol'!C29</f>
        <v>863666.74136683822</v>
      </c>
      <c r="D30" s="381">
        <f>'3 Vol'!E29</f>
        <v>647750.0560251287</v>
      </c>
      <c r="E30" s="117">
        <f t="shared" si="0"/>
        <v>0.24999999999999997</v>
      </c>
      <c r="F30" s="381">
        <f>'3 Vol'!F29</f>
        <v>810020.31144164759</v>
      </c>
      <c r="G30" s="382">
        <f t="shared" si="1"/>
        <v>6.2114734023785423E-2</v>
      </c>
    </row>
    <row r="31" spans="2:7" ht="20.25" customHeight="1">
      <c r="B31" s="65">
        <v>27</v>
      </c>
      <c r="C31" s="82">
        <f>'3 Vol'!C30</f>
        <v>864554.84041440662</v>
      </c>
      <c r="D31" s="381">
        <f>'3 Vol'!E30</f>
        <v>648416.13031080482</v>
      </c>
      <c r="E31" s="117">
        <f t="shared" si="0"/>
        <v>0.25000000000000017</v>
      </c>
      <c r="F31" s="381">
        <f>'3 Vol'!F30</f>
        <v>810853.24645308929</v>
      </c>
      <c r="G31" s="382">
        <f t="shared" si="1"/>
        <v>6.2114734023785659E-2</v>
      </c>
    </row>
    <row r="32" spans="2:7" ht="20.25" customHeight="1">
      <c r="B32" s="65">
        <v>28</v>
      </c>
      <c r="C32" s="82">
        <f>'3 Vol'!C31</f>
        <v>865464.01004023605</v>
      </c>
      <c r="D32" s="381">
        <f>'3 Vol'!E31</f>
        <v>649098.00753017713</v>
      </c>
      <c r="E32" s="117">
        <f t="shared" si="0"/>
        <v>0.24999999999999989</v>
      </c>
      <c r="F32" s="381">
        <f>'3 Vol'!F31</f>
        <v>811705.94324942806</v>
      </c>
      <c r="G32" s="382">
        <f t="shared" si="1"/>
        <v>6.2114734023785388E-2</v>
      </c>
    </row>
    <row r="33" spans="2:7" ht="20.25" customHeight="1">
      <c r="B33" s="65">
        <v>29</v>
      </c>
      <c r="C33" s="82">
        <f>'3 Vol'!C32</f>
        <v>866414.37683218473</v>
      </c>
      <c r="D33" s="381">
        <f>'3 Vol'!E32</f>
        <v>649810.78262413852</v>
      </c>
      <c r="E33" s="117">
        <f t="shared" si="0"/>
        <v>0.25000000000000006</v>
      </c>
      <c r="F33" s="381">
        <f>'3 Vol'!F32</f>
        <v>812597.27826086967</v>
      </c>
      <c r="G33" s="382">
        <f t="shared" si="1"/>
        <v>6.2114734023785548E-2</v>
      </c>
    </row>
    <row r="34" spans="2:7" ht="20.25" customHeight="1" thickBot="1">
      <c r="B34" s="73">
        <v>30</v>
      </c>
      <c r="C34" s="374">
        <f>'3 Vol'!C33</f>
        <v>866930.75739427784</v>
      </c>
      <c r="D34" s="375">
        <f>'3 Vol'!E33</f>
        <v>650198.06804570847</v>
      </c>
      <c r="E34" s="77">
        <f t="shared" si="0"/>
        <v>0.24999999999999989</v>
      </c>
      <c r="F34" s="375">
        <f>'3 Vol'!F33</f>
        <v>813081.58398169349</v>
      </c>
      <c r="G34" s="383">
        <f t="shared" si="1"/>
        <v>6.2114734023785347E-2</v>
      </c>
    </row>
    <row r="35" spans="2:7" ht="21" customHeight="1"/>
    <row r="36" spans="2:7" ht="21" customHeight="1">
      <c r="B36" s="119"/>
      <c r="C36" s="119"/>
      <c r="D36" s="119"/>
      <c r="E36" s="119"/>
      <c r="F36" s="119"/>
      <c r="G36" s="119"/>
    </row>
    <row r="37" spans="2:7" ht="21" customHeight="1">
      <c r="B37" s="119"/>
      <c r="C37" s="119"/>
      <c r="D37" s="119"/>
      <c r="E37" s="119"/>
      <c r="F37" s="119"/>
      <c r="G37" s="119"/>
    </row>
    <row r="38" spans="2:7" ht="21" customHeight="1">
      <c r="B38" s="119"/>
      <c r="C38" s="119"/>
      <c r="D38" s="119"/>
      <c r="E38" s="119"/>
      <c r="F38" s="119"/>
      <c r="G38" s="119"/>
    </row>
    <row r="39" spans="2:7" ht="21" customHeight="1">
      <c r="B39" s="119"/>
      <c r="C39" s="119"/>
      <c r="D39" s="119"/>
      <c r="E39" s="119"/>
      <c r="F39" s="119"/>
      <c r="G39" s="119"/>
    </row>
    <row r="40" spans="2:7">
      <c r="B40" s="119"/>
      <c r="C40" s="119"/>
      <c r="D40" s="119"/>
      <c r="E40" s="119"/>
      <c r="F40" s="119"/>
      <c r="G40" s="119"/>
    </row>
    <row r="41" spans="2:7">
      <c r="B41" s="119"/>
      <c r="C41" s="119"/>
      <c r="D41" s="119"/>
      <c r="E41" s="119"/>
      <c r="F41" s="119"/>
      <c r="G41" s="119"/>
    </row>
    <row r="42" spans="2:7">
      <c r="B42" s="119"/>
      <c r="C42" s="119"/>
      <c r="D42" s="119"/>
      <c r="E42" s="119"/>
      <c r="F42" s="119"/>
      <c r="G42" s="119"/>
    </row>
    <row r="43" spans="2:7">
      <c r="B43" s="119"/>
      <c r="C43" s="119"/>
      <c r="D43" s="119"/>
      <c r="E43" s="119"/>
      <c r="F43" s="119"/>
      <c r="G43" s="119"/>
    </row>
    <row r="44" spans="2:7">
      <c r="B44" s="119"/>
      <c r="C44" s="119"/>
      <c r="D44" s="119"/>
      <c r="E44" s="119"/>
      <c r="F44" s="119"/>
      <c r="G44" s="119"/>
    </row>
    <row r="45" spans="2:7">
      <c r="B45" s="119"/>
      <c r="C45" s="119"/>
      <c r="D45" s="119"/>
      <c r="E45" s="119"/>
      <c r="F45" s="119"/>
      <c r="G45" s="119"/>
    </row>
    <row r="46" spans="2:7">
      <c r="B46" s="119"/>
      <c r="C46" s="119"/>
      <c r="D46" s="119"/>
      <c r="E46" s="119"/>
      <c r="F46" s="119"/>
      <c r="G46" s="119"/>
    </row>
    <row r="47" spans="2:7">
      <c r="B47" s="119"/>
      <c r="C47" s="119"/>
      <c r="D47" s="119"/>
      <c r="E47" s="119"/>
      <c r="F47" s="119"/>
      <c r="G47" s="119"/>
    </row>
    <row r="48" spans="2:7">
      <c r="B48" s="119"/>
      <c r="C48" s="119"/>
      <c r="D48" s="119"/>
      <c r="E48" s="119"/>
      <c r="F48" s="119"/>
      <c r="G48" s="119"/>
    </row>
    <row r="49" spans="2:7">
      <c r="B49" s="119"/>
      <c r="C49" s="119"/>
      <c r="D49" s="119"/>
      <c r="E49" s="119"/>
      <c r="F49" s="119"/>
      <c r="G49" s="119"/>
    </row>
    <row r="50" spans="2:7">
      <c r="B50" s="119"/>
      <c r="C50" s="119"/>
      <c r="D50" s="119"/>
      <c r="E50" s="119"/>
      <c r="F50" s="119"/>
      <c r="G50" s="119"/>
    </row>
    <row r="51" spans="2:7">
      <c r="B51" s="119"/>
      <c r="C51" s="119"/>
      <c r="D51" s="119"/>
      <c r="E51" s="119"/>
      <c r="F51" s="119"/>
      <c r="G51" s="119"/>
    </row>
    <row r="52" spans="2:7">
      <c r="B52" s="119"/>
      <c r="C52" s="119"/>
      <c r="D52" s="119"/>
      <c r="E52" s="119"/>
      <c r="F52" s="119"/>
      <c r="G52" s="119"/>
    </row>
    <row r="53" spans="2:7">
      <c r="B53" s="119"/>
      <c r="C53" s="119"/>
      <c r="D53" s="119"/>
      <c r="E53" s="119"/>
      <c r="F53" s="119"/>
      <c r="G53" s="119"/>
    </row>
    <row r="54" spans="2:7">
      <c r="B54" s="119"/>
      <c r="C54" s="119"/>
      <c r="D54" s="119"/>
      <c r="E54" s="119"/>
      <c r="F54" s="119"/>
      <c r="G54" s="119"/>
    </row>
    <row r="55" spans="2:7">
      <c r="B55" s="119"/>
      <c r="C55" s="119"/>
      <c r="D55" s="119"/>
      <c r="E55" s="119"/>
      <c r="F55" s="119"/>
      <c r="G55" s="119"/>
    </row>
    <row r="56" spans="2:7">
      <c r="B56" s="119"/>
      <c r="C56" s="119"/>
      <c r="D56" s="119"/>
      <c r="E56" s="119"/>
      <c r="F56" s="119"/>
      <c r="G56" s="119"/>
    </row>
    <row r="57" spans="2:7">
      <c r="B57" s="119"/>
      <c r="C57" s="119"/>
      <c r="D57" s="119"/>
      <c r="E57" s="119"/>
      <c r="F57" s="119"/>
      <c r="G57" s="119"/>
    </row>
    <row r="58" spans="2:7">
      <c r="B58" s="119"/>
      <c r="C58" s="119"/>
      <c r="D58" s="119"/>
      <c r="E58" s="119"/>
      <c r="F58" s="119"/>
      <c r="G58" s="119"/>
    </row>
    <row r="59" spans="2:7">
      <c r="B59" s="119"/>
      <c r="C59" s="119"/>
      <c r="D59" s="119"/>
      <c r="E59" s="119"/>
      <c r="F59" s="119"/>
      <c r="G59" s="119"/>
    </row>
    <row r="60" spans="2:7">
      <c r="B60" s="119"/>
      <c r="C60" s="119"/>
      <c r="D60" s="119"/>
      <c r="E60" s="119"/>
      <c r="F60" s="119"/>
      <c r="G60" s="119"/>
    </row>
    <row r="61" spans="2:7">
      <c r="B61" s="119"/>
      <c r="C61" s="119"/>
      <c r="D61" s="119"/>
      <c r="E61" s="119"/>
      <c r="F61" s="119"/>
      <c r="G61" s="119"/>
    </row>
    <row r="62" spans="2:7">
      <c r="B62" s="119"/>
      <c r="C62" s="119"/>
      <c r="D62" s="119"/>
      <c r="E62" s="119"/>
      <c r="F62" s="119"/>
      <c r="G62" s="119"/>
    </row>
    <row r="63" spans="2:7">
      <c r="B63" s="119"/>
      <c r="C63" s="119"/>
      <c r="D63" s="119"/>
      <c r="E63" s="119"/>
      <c r="F63" s="119"/>
      <c r="G63" s="119"/>
    </row>
    <row r="64" spans="2:7">
      <c r="B64" s="119"/>
      <c r="C64" s="119"/>
      <c r="D64" s="119"/>
      <c r="E64" s="119"/>
      <c r="F64" s="119"/>
      <c r="G64" s="119"/>
    </row>
    <row r="65" spans="2:7">
      <c r="B65" s="119"/>
      <c r="C65" s="119"/>
      <c r="D65" s="119"/>
      <c r="E65" s="119"/>
      <c r="F65" s="119"/>
      <c r="G65" s="119"/>
    </row>
    <row r="66" spans="2:7">
      <c r="B66" s="119"/>
      <c r="C66" s="119"/>
      <c r="D66" s="119"/>
      <c r="E66" s="119"/>
      <c r="F66" s="119"/>
      <c r="G66" s="119"/>
    </row>
    <row r="67" spans="2:7">
      <c r="B67" s="119"/>
      <c r="C67" s="119"/>
      <c r="D67" s="119"/>
      <c r="E67" s="119"/>
      <c r="F67" s="119"/>
      <c r="G67" s="119"/>
    </row>
    <row r="68" spans="2:7">
      <c r="B68" s="119"/>
      <c r="C68" s="119"/>
      <c r="D68" s="119"/>
      <c r="E68" s="119"/>
      <c r="F68" s="119"/>
      <c r="G68" s="119"/>
    </row>
    <row r="69" spans="2:7">
      <c r="B69" s="119"/>
      <c r="C69" s="119"/>
      <c r="D69" s="119"/>
      <c r="E69" s="119"/>
      <c r="F69" s="119"/>
      <c r="G69" s="119"/>
    </row>
    <row r="70" spans="2:7">
      <c r="B70" s="119"/>
      <c r="C70" s="119"/>
      <c r="D70" s="119"/>
      <c r="E70" s="119"/>
      <c r="F70" s="119"/>
      <c r="G70" s="119"/>
    </row>
    <row r="71" spans="2:7">
      <c r="B71" s="119"/>
      <c r="C71" s="119"/>
      <c r="D71" s="119"/>
      <c r="E71" s="119"/>
      <c r="F71" s="119"/>
      <c r="G71" s="119"/>
    </row>
    <row r="72" spans="2:7">
      <c r="B72" s="119"/>
      <c r="C72" s="119"/>
      <c r="D72" s="119"/>
      <c r="E72" s="119"/>
      <c r="F72" s="119"/>
      <c r="G72" s="119"/>
    </row>
    <row r="73" spans="2:7">
      <c r="B73" s="119"/>
      <c r="C73" s="119"/>
      <c r="D73" s="119"/>
      <c r="E73" s="119"/>
      <c r="F73" s="119"/>
      <c r="G73" s="119"/>
    </row>
    <row r="74" spans="2:7">
      <c r="B74" s="119"/>
      <c r="C74" s="119"/>
      <c r="D74" s="119"/>
      <c r="E74" s="119"/>
      <c r="F74" s="119"/>
      <c r="G74" s="119"/>
    </row>
    <row r="75" spans="2:7">
      <c r="B75" s="119"/>
      <c r="C75" s="119"/>
      <c r="D75" s="119"/>
      <c r="E75" s="119"/>
      <c r="F75" s="119"/>
      <c r="G75" s="119"/>
    </row>
    <row r="76" spans="2:7">
      <c r="B76" s="119"/>
      <c r="C76" s="119"/>
      <c r="D76" s="119"/>
      <c r="E76" s="119"/>
      <c r="F76" s="119"/>
      <c r="G76" s="119"/>
    </row>
    <row r="77" spans="2:7">
      <c r="B77" s="119"/>
      <c r="C77" s="119"/>
      <c r="D77" s="119"/>
      <c r="E77" s="119"/>
      <c r="F77" s="119"/>
      <c r="G77" s="119"/>
    </row>
    <row r="78" spans="2:7">
      <c r="B78" s="119"/>
      <c r="C78" s="119"/>
      <c r="D78" s="119"/>
      <c r="E78" s="119"/>
      <c r="F78" s="119"/>
      <c r="G78" s="119"/>
    </row>
    <row r="79" spans="2:7">
      <c r="B79" s="119"/>
      <c r="C79" s="119"/>
      <c r="D79" s="119"/>
      <c r="E79" s="119"/>
      <c r="F79" s="119"/>
      <c r="G79" s="119"/>
    </row>
    <row r="80" spans="2:7">
      <c r="B80" s="119"/>
      <c r="C80" s="119"/>
      <c r="D80" s="119"/>
      <c r="E80" s="119"/>
      <c r="F80" s="119"/>
      <c r="G80" s="119"/>
    </row>
    <row r="81" spans="2:7">
      <c r="B81" s="119"/>
      <c r="C81" s="119"/>
      <c r="D81" s="119"/>
      <c r="E81" s="119"/>
      <c r="F81" s="119"/>
      <c r="G81" s="119"/>
    </row>
    <row r="82" spans="2:7">
      <c r="B82" s="119"/>
      <c r="C82" s="119"/>
      <c r="D82" s="119"/>
      <c r="E82" s="119"/>
      <c r="F82" s="119"/>
      <c r="G82" s="119"/>
    </row>
    <row r="83" spans="2:7">
      <c r="B83" s="119"/>
      <c r="C83" s="119"/>
      <c r="D83" s="119"/>
      <c r="E83" s="119"/>
      <c r="F83" s="119"/>
      <c r="G83" s="119"/>
    </row>
    <row r="84" spans="2:7">
      <c r="B84" s="119"/>
      <c r="C84" s="119"/>
      <c r="D84" s="119"/>
      <c r="E84" s="119"/>
      <c r="F84" s="119"/>
      <c r="G84" s="119"/>
    </row>
    <row r="85" spans="2:7">
      <c r="B85" s="119"/>
      <c r="C85" s="119"/>
      <c r="D85" s="119"/>
      <c r="E85" s="119"/>
      <c r="F85" s="119"/>
      <c r="G85" s="119"/>
    </row>
    <row r="86" spans="2:7">
      <c r="B86" s="119"/>
      <c r="C86" s="119"/>
      <c r="D86" s="119"/>
      <c r="E86" s="119"/>
      <c r="F86" s="119"/>
      <c r="G86" s="119"/>
    </row>
    <row r="87" spans="2:7">
      <c r="B87" s="119"/>
      <c r="C87" s="119"/>
      <c r="D87" s="119"/>
      <c r="E87" s="119"/>
      <c r="F87" s="119"/>
      <c r="G87" s="119"/>
    </row>
    <row r="88" spans="2:7">
      <c r="B88" s="119"/>
      <c r="C88" s="119"/>
      <c r="D88" s="119"/>
      <c r="E88" s="119"/>
      <c r="F88" s="119"/>
      <c r="G88" s="119"/>
    </row>
    <row r="89" spans="2:7">
      <c r="B89" s="119"/>
      <c r="C89" s="119"/>
      <c r="D89" s="119"/>
      <c r="E89" s="119"/>
      <c r="F89" s="119"/>
      <c r="G89" s="119"/>
    </row>
    <row r="90" spans="2:7">
      <c r="B90" s="119"/>
      <c r="C90" s="119"/>
      <c r="D90" s="119"/>
      <c r="E90" s="119"/>
      <c r="F90" s="119"/>
      <c r="G90" s="119"/>
    </row>
    <row r="91" spans="2:7">
      <c r="B91" s="119"/>
      <c r="C91" s="119"/>
      <c r="D91" s="119"/>
      <c r="E91" s="119"/>
      <c r="F91" s="119"/>
      <c r="G91" s="119"/>
    </row>
    <row r="92" spans="2:7">
      <c r="B92" s="119"/>
      <c r="C92" s="119"/>
      <c r="D92" s="119"/>
      <c r="E92" s="119"/>
      <c r="F92" s="119"/>
      <c r="G92" s="119"/>
    </row>
    <row r="93" spans="2:7">
      <c r="B93" s="119"/>
      <c r="C93" s="119"/>
      <c r="D93" s="119"/>
      <c r="E93" s="119"/>
      <c r="F93" s="119"/>
      <c r="G93" s="119"/>
    </row>
    <row r="94" spans="2:7">
      <c r="B94" s="119"/>
      <c r="C94" s="119"/>
      <c r="D94" s="119"/>
      <c r="E94" s="119"/>
      <c r="F94" s="119"/>
      <c r="G94" s="119"/>
    </row>
    <row r="95" spans="2:7">
      <c r="B95" s="119"/>
      <c r="C95" s="119"/>
      <c r="D95" s="119"/>
      <c r="E95" s="119"/>
      <c r="F95" s="119"/>
      <c r="G95" s="119"/>
    </row>
    <row r="96" spans="2:7">
      <c r="B96" s="119"/>
      <c r="C96" s="119"/>
      <c r="D96" s="119"/>
      <c r="E96" s="119"/>
      <c r="F96" s="119"/>
      <c r="G96" s="119"/>
    </row>
    <row r="97" spans="2:7">
      <c r="B97" s="119"/>
      <c r="C97" s="119"/>
      <c r="D97" s="119"/>
      <c r="E97" s="119"/>
      <c r="F97" s="119"/>
      <c r="G97" s="119"/>
    </row>
    <row r="98" spans="2:7">
      <c r="B98" s="119"/>
      <c r="C98" s="119"/>
      <c r="D98" s="119"/>
      <c r="E98" s="119"/>
      <c r="F98" s="119"/>
      <c r="G98" s="119"/>
    </row>
    <row r="99" spans="2:7">
      <c r="B99" s="119"/>
      <c r="C99" s="119"/>
      <c r="D99" s="119"/>
      <c r="E99" s="119"/>
      <c r="F99" s="119"/>
      <c r="G99" s="119"/>
    </row>
    <row r="100" spans="2:7">
      <c r="B100" s="119"/>
      <c r="C100" s="119"/>
      <c r="D100" s="119"/>
      <c r="E100" s="119"/>
      <c r="F100" s="119"/>
      <c r="G100" s="119"/>
    </row>
  </sheetData>
  <mergeCells count="4">
    <mergeCell ref="B3:B4"/>
    <mergeCell ref="C3:C4"/>
    <mergeCell ref="D3:E3"/>
    <mergeCell ref="F3:G3"/>
  </mergeCells>
  <printOptions horizontalCentered="1"/>
  <pageMargins left="0.98425196850393704" right="0.59055118110236227" top="1.9685039370078741" bottom="1.0629921259842521" header="0.39370078740157483" footer="0.39370078740157483"/>
  <pageSetup paperSize="9" scale="82"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8">
    <tabColor rgb="FF00B050"/>
    <pageSetUpPr fitToPage="1"/>
  </sheetPr>
  <dimension ref="B1:AF39"/>
  <sheetViews>
    <sheetView showGridLines="0" workbookViewId="0">
      <selection activeCell="B20" sqref="B20"/>
    </sheetView>
  </sheetViews>
  <sheetFormatPr defaultColWidth="11.5703125" defaultRowHeight="12.75"/>
  <cols>
    <col min="1" max="1" width="2.7109375" style="2" customWidth="1"/>
    <col min="2" max="2" width="8.85546875" style="2" customWidth="1"/>
    <col min="3" max="3" width="14.7109375" style="2" customWidth="1"/>
    <col min="4" max="4" width="16.140625" style="2" customWidth="1"/>
    <col min="5" max="5" width="14.140625" style="2" customWidth="1"/>
    <col min="6" max="8" width="16.140625" style="2" customWidth="1"/>
    <col min="9" max="9" width="2.7109375" style="2" customWidth="1"/>
    <col min="10" max="12" width="16.140625" style="2" customWidth="1"/>
    <col min="13" max="13" width="21.5703125" style="2" customWidth="1"/>
    <col min="14" max="14" width="10.28515625" style="2" customWidth="1"/>
    <col min="15" max="19" width="10.7109375" style="2" customWidth="1"/>
    <col min="20" max="33" width="11.5703125" style="2" customWidth="1"/>
    <col min="34" max="16384" width="11.5703125" style="2"/>
  </cols>
  <sheetData>
    <row r="1" spans="2:32" s="1" customFormat="1" ht="30" customHeight="1" thickBot="1">
      <c r="B1" s="39" t="s">
        <v>46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U1" s="1249" t="s">
        <v>78</v>
      </c>
      <c r="V1" s="1250"/>
      <c r="W1" s="1250"/>
      <c r="X1" s="1250"/>
      <c r="Y1" s="1250"/>
      <c r="Z1" s="1250"/>
      <c r="AA1" s="1251"/>
    </row>
    <row r="2" spans="2:32" ht="21.75" customHeight="1">
      <c r="B2" s="1258" t="s">
        <v>1</v>
      </c>
      <c r="C2" s="1260" t="s">
        <v>12</v>
      </c>
      <c r="D2" s="1256" t="s">
        <v>342</v>
      </c>
      <c r="E2" s="1256" t="s">
        <v>13</v>
      </c>
      <c r="F2" s="1256" t="s">
        <v>345</v>
      </c>
      <c r="G2" s="1256" t="s">
        <v>18</v>
      </c>
      <c r="H2" s="1256" t="s">
        <v>346</v>
      </c>
      <c r="I2" s="126"/>
      <c r="J2" s="126"/>
      <c r="K2" s="126"/>
      <c r="L2" s="126"/>
      <c r="M2" s="126"/>
      <c r="N2" s="1252" t="s">
        <v>71</v>
      </c>
      <c r="O2" s="1254"/>
      <c r="P2" s="1252" t="s">
        <v>79</v>
      </c>
      <c r="Q2" s="1252"/>
      <c r="R2" s="126"/>
      <c r="S2" s="126"/>
      <c r="U2" s="1248" t="s">
        <v>77</v>
      </c>
      <c r="V2" s="1248" t="s">
        <v>71</v>
      </c>
      <c r="W2" s="1248" t="s">
        <v>72</v>
      </c>
      <c r="X2" s="1235" t="s">
        <v>73</v>
      </c>
      <c r="Y2" s="1235" t="s">
        <v>74</v>
      </c>
      <c r="Z2" s="1235" t="s">
        <v>75</v>
      </c>
      <c r="AA2" s="1248" t="s">
        <v>76</v>
      </c>
    </row>
    <row r="3" spans="2:32" s="3" customFormat="1" ht="45.75" customHeight="1" thickBot="1">
      <c r="B3" s="1259"/>
      <c r="C3" s="1261"/>
      <c r="D3" s="1257"/>
      <c r="E3" s="1257"/>
      <c r="F3" s="1257"/>
      <c r="G3" s="1257"/>
      <c r="H3" s="1257"/>
      <c r="I3" s="126"/>
      <c r="J3" s="126" t="s">
        <v>462</v>
      </c>
      <c r="K3" s="126" t="s">
        <v>463</v>
      </c>
      <c r="L3" s="126" t="s">
        <v>464</v>
      </c>
      <c r="M3" s="126"/>
      <c r="N3" s="1253"/>
      <c r="O3" s="1255"/>
      <c r="P3" s="1253"/>
      <c r="Q3" s="1253"/>
      <c r="R3" s="126"/>
      <c r="S3" s="126"/>
      <c r="U3" s="1235"/>
      <c r="V3" s="1235"/>
      <c r="W3" s="1235"/>
      <c r="X3" s="1247"/>
      <c r="Y3" s="1247"/>
      <c r="Z3" s="1247"/>
      <c r="AA3" s="1235"/>
    </row>
    <row r="4" spans="2:32" ht="20.25" customHeight="1">
      <c r="B4" s="36">
        <v>1</v>
      </c>
      <c r="C4" s="768">
        <f>'17 R1 INV'!I30/'17 R1 INV'!F30</f>
        <v>223.10750275249404</v>
      </c>
      <c r="D4" s="769">
        <f>C4*$D$36</f>
        <v>22756.965280754393</v>
      </c>
      <c r="E4" s="770"/>
      <c r="F4" s="769"/>
      <c r="G4" s="771">
        <f>'17 R1 INV'!D24</f>
        <v>231.00525101320758</v>
      </c>
      <c r="H4" s="772">
        <f>G4*$H$36</f>
        <v>25895.68863858057</v>
      </c>
      <c r="I4" s="127"/>
      <c r="J4" s="767">
        <f>'R1 Aux Inv 1'!I66</f>
        <v>22756.965280754393</v>
      </c>
      <c r="K4" s="767">
        <f>'R1 Aux Inv 1'!I64</f>
        <v>0</v>
      </c>
      <c r="L4" s="767">
        <f>'R1 Aux Inv 1'!I59</f>
        <v>25950.458636948133</v>
      </c>
      <c r="M4" s="127"/>
      <c r="N4" s="130">
        <f>V4</f>
        <v>4098.1899679170665</v>
      </c>
      <c r="O4" s="129">
        <v>0.95</v>
      </c>
      <c r="P4" s="130">
        <f>N4-(N4*O4)</f>
        <v>204.90949839585346</v>
      </c>
      <c r="Q4" s="129"/>
      <c r="R4" s="129"/>
      <c r="S4" s="129"/>
      <c r="U4" s="120">
        <v>13398.055491990846</v>
      </c>
      <c r="V4" s="120">
        <v>4098.1899679170665</v>
      </c>
      <c r="W4" s="121">
        <f>X4/V4</f>
        <v>10.857964210628435</v>
      </c>
      <c r="X4" s="120">
        <v>44498</v>
      </c>
      <c r="Y4" s="120">
        <v>78.068414319074691</v>
      </c>
      <c r="Z4" s="120">
        <v>92</v>
      </c>
      <c r="AA4" s="125">
        <f>SUM(X4)</f>
        <v>44498</v>
      </c>
      <c r="AE4" s="142">
        <v>7925.0569065542604</v>
      </c>
      <c r="AF4" s="2">
        <v>7.1899679170664967</v>
      </c>
    </row>
    <row r="5" spans="2:32" ht="20.25" customHeight="1">
      <c r="B5" s="34">
        <v>2</v>
      </c>
      <c r="C5" s="537">
        <f>'17 R1 INV'!J30/'17 R1 INV'!F30</f>
        <v>158.74808342865489</v>
      </c>
      <c r="D5" s="538">
        <f>C5*$D$36</f>
        <v>16192.304509722799</v>
      </c>
      <c r="E5" s="537">
        <f>'17 R1 INV'!J29/'17 R1 INV'!F29</f>
        <v>45.676458419528345</v>
      </c>
      <c r="F5" s="538">
        <f>E5*$F$36</f>
        <v>9135.2916839056688</v>
      </c>
      <c r="G5" s="541"/>
      <c r="H5" s="542"/>
      <c r="I5" s="127"/>
      <c r="J5" s="767">
        <f>'R1 Aux Inv 1'!J66</f>
        <v>16192.304509722799</v>
      </c>
      <c r="K5" s="767">
        <f>'R1 Aux Inv 1'!J64</f>
        <v>9135.2916839056688</v>
      </c>
      <c r="L5" s="767">
        <f>'R1 Aux Inv 1'!J59</f>
        <v>0</v>
      </c>
      <c r="M5" s="127"/>
      <c r="N5" s="130">
        <f t="shared" ref="N5:N33" si="0">V5</f>
        <v>4105.379935834133</v>
      </c>
      <c r="O5" s="129">
        <v>0.95</v>
      </c>
      <c r="P5" s="130">
        <f t="shared" ref="P5:P33" si="1">N5-(N5*O5)</f>
        <v>205.26899679170674</v>
      </c>
      <c r="Q5" s="130">
        <v>150</v>
      </c>
      <c r="R5" s="129"/>
      <c r="S5" s="129"/>
      <c r="U5" s="120">
        <v>13421.610983981693</v>
      </c>
      <c r="V5" s="120">
        <v>4105.379935834133</v>
      </c>
      <c r="W5" s="121">
        <f t="shared" ref="W5:W33" si="2">X5/V5</f>
        <v>10.838948086532916</v>
      </c>
      <c r="X5" s="120">
        <f>AA4</f>
        <v>44498</v>
      </c>
      <c r="Y5" s="120">
        <f>(V5-V4)*W5</f>
        <v>77.931688996920968</v>
      </c>
      <c r="Z5" s="120">
        <v>92</v>
      </c>
      <c r="AA5" s="122">
        <f>SUM(X5:Y5)</f>
        <v>44575.93168899692</v>
      </c>
      <c r="AE5" s="142">
        <v>7925.0569065542604</v>
      </c>
      <c r="AF5" s="2">
        <v>7.1899679170664967</v>
      </c>
    </row>
    <row r="6" spans="2:32" ht="20.25" customHeight="1">
      <c r="B6" s="35">
        <v>3</v>
      </c>
      <c r="C6" s="537">
        <f>'17 R1 INV'!K30/'17 R1 INV'!F30</f>
        <v>142.40545063653326</v>
      </c>
      <c r="D6" s="538">
        <f t="shared" ref="D6:D33" si="3">C6*$D$36</f>
        <v>14525.355964926392</v>
      </c>
      <c r="E6" s="537">
        <f>'17 R1 INV'!K29/'17 R1 INV'!F29</f>
        <v>66.512549271981328</v>
      </c>
      <c r="F6" s="538">
        <f t="shared" ref="F6:F33" si="4">E6*$F$36</f>
        <v>13302.509854396265</v>
      </c>
      <c r="G6" s="541"/>
      <c r="H6" s="542"/>
      <c r="I6" s="127"/>
      <c r="J6" s="767">
        <f>'R1 Aux Inv 1'!K66</f>
        <v>14525.355964926393</v>
      </c>
      <c r="K6" s="767">
        <f>'R1 Aux Inv 1'!K64</f>
        <v>13302.509854396265</v>
      </c>
      <c r="L6" s="767">
        <f>'R1 Aux Inv 1'!K59</f>
        <v>0</v>
      </c>
      <c r="M6" s="127"/>
      <c r="N6" s="130">
        <f t="shared" si="0"/>
        <v>4112.5699037511995</v>
      </c>
      <c r="O6" s="129">
        <v>0.96</v>
      </c>
      <c r="P6" s="130">
        <f t="shared" si="1"/>
        <v>164.5027961500482</v>
      </c>
      <c r="Q6" s="130">
        <v>150</v>
      </c>
      <c r="R6" s="129"/>
      <c r="S6" s="129"/>
      <c r="U6" s="120">
        <v>13445.166475972539</v>
      </c>
      <c r="V6" s="120">
        <v>4112.5699037511995</v>
      </c>
      <c r="W6" s="121">
        <f t="shared" si="2"/>
        <v>10.838948086532916</v>
      </c>
      <c r="X6" s="120">
        <f t="shared" ref="X6:X33" si="5">AA5</f>
        <v>44575.93168899692</v>
      </c>
      <c r="Y6" s="120">
        <f>(V6-V5)*W6</f>
        <v>77.931688996920968</v>
      </c>
      <c r="Z6" s="120">
        <v>92</v>
      </c>
      <c r="AA6" s="122">
        <f t="shared" ref="AA6:AA22" si="6">SUM(X6:Y6)</f>
        <v>44653.863377993839</v>
      </c>
      <c r="AE6" s="142">
        <v>7925.0569065542604</v>
      </c>
      <c r="AF6" s="2">
        <v>7.1899679170664967</v>
      </c>
    </row>
    <row r="7" spans="2:32" ht="20.25" customHeight="1">
      <c r="B7" s="25">
        <v>4</v>
      </c>
      <c r="C7" s="891">
        <v>4083</v>
      </c>
      <c r="D7" s="892">
        <f t="shared" si="3"/>
        <v>416466</v>
      </c>
      <c r="E7" s="27">
        <f t="shared" ref="E7:E33" si="7">ROUND(AF7,0)</f>
        <v>7</v>
      </c>
      <c r="F7" s="18">
        <f t="shared" si="4"/>
        <v>1400</v>
      </c>
      <c r="G7" s="893"/>
      <c r="H7" s="894"/>
      <c r="I7" s="127"/>
      <c r="J7" s="127"/>
      <c r="K7" s="127"/>
      <c r="L7" s="127"/>
      <c r="M7" s="127"/>
      <c r="N7" s="130">
        <f t="shared" si="0"/>
        <v>4120.0554193678272</v>
      </c>
      <c r="O7" s="129">
        <v>0.97</v>
      </c>
      <c r="P7" s="130">
        <f t="shared" si="1"/>
        <v>123.60166258103482</v>
      </c>
      <c r="Q7" s="130">
        <v>150</v>
      </c>
      <c r="R7" s="129"/>
      <c r="S7" s="129"/>
      <c r="U7" s="120">
        <v>13469.398741418765</v>
      </c>
      <c r="V7" s="120">
        <v>4120.0554193678272</v>
      </c>
      <c r="W7" s="121">
        <f t="shared" si="2"/>
        <v>10.838170566367147</v>
      </c>
      <c r="X7" s="120">
        <f t="shared" si="5"/>
        <v>44653.863377993839</v>
      </c>
      <c r="Y7" s="120">
        <f>(V7-V6)*W7</f>
        <v>81.129295030216056</v>
      </c>
      <c r="Z7" s="120">
        <v>92</v>
      </c>
      <c r="AA7" s="122">
        <f t="shared" si="6"/>
        <v>44734.992673024055</v>
      </c>
      <c r="AE7" s="142">
        <v>8229.8667875755782</v>
      </c>
      <c r="AF7" s="2">
        <v>7.4855156166277084</v>
      </c>
    </row>
    <row r="8" spans="2:32" ht="20.25" customHeight="1">
      <c r="B8" s="25">
        <v>5</v>
      </c>
      <c r="C8" s="27">
        <v>74</v>
      </c>
      <c r="D8" s="18">
        <f t="shared" si="3"/>
        <v>7548</v>
      </c>
      <c r="E8" s="27">
        <f t="shared" si="7"/>
        <v>7</v>
      </c>
      <c r="F8" s="18">
        <f t="shared" si="4"/>
        <v>1400</v>
      </c>
      <c r="G8" s="893"/>
      <c r="H8" s="894"/>
      <c r="I8" s="127"/>
      <c r="J8" s="127"/>
      <c r="K8" s="127"/>
      <c r="L8" s="127"/>
      <c r="M8" s="127"/>
      <c r="N8" s="130">
        <f t="shared" si="0"/>
        <v>4126.8673225578586</v>
      </c>
      <c r="O8" s="129">
        <v>0.98</v>
      </c>
      <c r="P8" s="130">
        <f t="shared" si="1"/>
        <v>82.537346451157191</v>
      </c>
      <c r="Q8" s="130">
        <v>150</v>
      </c>
      <c r="R8" s="129"/>
      <c r="S8" s="129"/>
      <c r="U8" s="120">
        <v>13491.631006864987</v>
      </c>
      <c r="V8" s="120">
        <v>4126.8673225578586</v>
      </c>
      <c r="W8" s="121">
        <f t="shared" si="2"/>
        <v>10.839939638596626</v>
      </c>
      <c r="X8" s="120">
        <f t="shared" si="5"/>
        <v>44734.992673024055</v>
      </c>
      <c r="Y8" s="120">
        <f t="shared" ref="Y8:Y33" si="8">(V8-V7)*W8</f>
        <v>73.840619403904654</v>
      </c>
      <c r="Z8" s="120">
        <v>92</v>
      </c>
      <c r="AA8" s="122">
        <f t="shared" si="6"/>
        <v>44808.83329242796</v>
      </c>
      <c r="AE8" s="142">
        <v>7518.6437318591697</v>
      </c>
      <c r="AF8" s="2">
        <v>6.811903190031444</v>
      </c>
    </row>
    <row r="9" spans="2:32" ht="20.25" customHeight="1">
      <c r="B9" s="25">
        <v>6</v>
      </c>
      <c r="C9" s="27">
        <v>76</v>
      </c>
      <c r="D9" s="18">
        <f t="shared" si="3"/>
        <v>7752</v>
      </c>
      <c r="E9" s="27">
        <f t="shared" si="7"/>
        <v>7</v>
      </c>
      <c r="F9" s="18">
        <f t="shared" si="4"/>
        <v>1400</v>
      </c>
      <c r="G9" s="893"/>
      <c r="H9" s="894"/>
      <c r="I9" s="127"/>
      <c r="J9" s="127"/>
      <c r="K9" s="127"/>
      <c r="L9" s="127"/>
      <c r="M9" s="127"/>
      <c r="N9" s="130">
        <f t="shared" si="0"/>
        <v>4133.8682581114081</v>
      </c>
      <c r="O9" s="129">
        <v>0.99</v>
      </c>
      <c r="P9" s="130">
        <f t="shared" si="1"/>
        <v>41.338682581113972</v>
      </c>
      <c r="Q9" s="130">
        <v>150</v>
      </c>
      <c r="R9" s="129"/>
      <c r="S9" s="129"/>
      <c r="U9" s="120">
        <v>13514.524885583523</v>
      </c>
      <c r="V9" s="120">
        <v>4133.8682581114081</v>
      </c>
      <c r="W9" s="121">
        <f t="shared" si="2"/>
        <v>10.839443952889599</v>
      </c>
      <c r="X9" s="120">
        <f t="shared" si="5"/>
        <v>44808.83329242796</v>
      </c>
      <c r="Y9" s="120">
        <f t="shared" si="8"/>
        <v>75.886248550491118</v>
      </c>
      <c r="Z9" s="120">
        <v>92</v>
      </c>
      <c r="AA9" s="122">
        <f t="shared" si="6"/>
        <v>44884.719540978454</v>
      </c>
      <c r="AE9" s="142">
        <v>7721.8503192067155</v>
      </c>
      <c r="AF9" s="2">
        <v>7.0009355535494251</v>
      </c>
    </row>
    <row r="10" spans="2:32" ht="20.25" customHeight="1">
      <c r="B10" s="25">
        <v>7</v>
      </c>
      <c r="C10" s="27">
        <v>68</v>
      </c>
      <c r="D10" s="18">
        <f t="shared" si="3"/>
        <v>6936</v>
      </c>
      <c r="E10" s="27">
        <f t="shared" si="7"/>
        <v>6</v>
      </c>
      <c r="F10" s="18">
        <f t="shared" si="4"/>
        <v>1200</v>
      </c>
      <c r="G10" s="17"/>
      <c r="H10" s="21"/>
      <c r="I10" s="127"/>
      <c r="J10" s="127"/>
      <c r="K10" s="127"/>
      <c r="L10" s="127"/>
      <c r="M10" s="127"/>
      <c r="N10" s="130">
        <f t="shared" si="0"/>
        <v>4140.1543227246239</v>
      </c>
      <c r="O10" s="129">
        <v>1</v>
      </c>
      <c r="P10" s="130">
        <f t="shared" si="1"/>
        <v>0</v>
      </c>
      <c r="Q10" s="130">
        <v>72</v>
      </c>
      <c r="R10" s="129"/>
      <c r="S10" s="129"/>
      <c r="U10" s="120">
        <v>13535.095537757437</v>
      </c>
      <c r="V10" s="120">
        <v>4140.1543227246239</v>
      </c>
      <c r="W10" s="121">
        <f t="shared" si="2"/>
        <v>10.841315574787547</v>
      </c>
      <c r="X10" s="120">
        <f t="shared" si="5"/>
        <v>44884.719540978454</v>
      </c>
      <c r="Y10" s="120">
        <f t="shared" si="8"/>
        <v>68.149210195377151</v>
      </c>
      <c r="Z10" s="120">
        <v>92</v>
      </c>
      <c r="AA10" s="122">
        <f t="shared" si="6"/>
        <v>44952.868751173832</v>
      </c>
      <c r="AE10" s="142">
        <v>6909.0239698165351</v>
      </c>
      <c r="AF10" s="2">
        <v>6.2860646132157854</v>
      </c>
    </row>
    <row r="11" spans="2:32" ht="20.25" customHeight="1">
      <c r="B11" s="25">
        <v>8</v>
      </c>
      <c r="C11" s="27">
        <v>68</v>
      </c>
      <c r="D11" s="18">
        <f t="shared" si="3"/>
        <v>6936</v>
      </c>
      <c r="E11" s="27">
        <f t="shared" si="7"/>
        <v>6</v>
      </c>
      <c r="F11" s="18">
        <f t="shared" si="4"/>
        <v>1200</v>
      </c>
      <c r="G11" s="17"/>
      <c r="H11" s="21"/>
      <c r="I11" s="127"/>
      <c r="J11" s="127"/>
      <c r="K11" s="127"/>
      <c r="L11" s="127"/>
      <c r="M11" s="127"/>
      <c r="N11" s="130">
        <f t="shared" si="0"/>
        <v>4146.4403873378396</v>
      </c>
      <c r="O11" s="129">
        <v>1</v>
      </c>
      <c r="P11" s="130">
        <f t="shared" si="1"/>
        <v>0</v>
      </c>
      <c r="Q11" s="130"/>
      <c r="R11" s="129"/>
      <c r="S11" s="129"/>
      <c r="U11" s="120">
        <v>13555.666189931349</v>
      </c>
      <c r="V11" s="120">
        <v>4146.4403873378396</v>
      </c>
      <c r="W11" s="121">
        <f t="shared" si="2"/>
        <v>10.841315574787547</v>
      </c>
      <c r="X11" s="120">
        <f t="shared" si="5"/>
        <v>44952.868751173832</v>
      </c>
      <c r="Y11" s="120">
        <f t="shared" si="8"/>
        <v>68.149210195377151</v>
      </c>
      <c r="Z11" s="120">
        <v>92</v>
      </c>
      <c r="AA11" s="122">
        <f t="shared" si="6"/>
        <v>45021.017961369209</v>
      </c>
      <c r="AE11" s="142">
        <v>6909.0239698165351</v>
      </c>
      <c r="AF11" s="2">
        <v>6.2860646132157854</v>
      </c>
    </row>
    <row r="12" spans="2:32" ht="20.25" customHeight="1">
      <c r="B12" s="25">
        <v>9</v>
      </c>
      <c r="C12" s="27">
        <v>68</v>
      </c>
      <c r="D12" s="18">
        <f t="shared" si="3"/>
        <v>6936</v>
      </c>
      <c r="E12" s="27">
        <f t="shared" si="7"/>
        <v>6</v>
      </c>
      <c r="F12" s="18">
        <f t="shared" si="4"/>
        <v>1200</v>
      </c>
      <c r="G12" s="17"/>
      <c r="H12" s="21"/>
      <c r="I12" s="127"/>
      <c r="J12" s="127"/>
      <c r="K12" s="127"/>
      <c r="L12" s="127"/>
      <c r="M12" s="127"/>
      <c r="N12" s="130">
        <f t="shared" si="0"/>
        <v>4152.7264519510554</v>
      </c>
      <c r="O12" s="129">
        <f>O11</f>
        <v>1</v>
      </c>
      <c r="P12" s="130">
        <f t="shared" si="1"/>
        <v>0</v>
      </c>
      <c r="Q12" s="130"/>
      <c r="R12" s="129"/>
      <c r="S12" s="129"/>
      <c r="U12" s="120">
        <v>13576.236842105263</v>
      </c>
      <c r="V12" s="120">
        <v>4152.7264519510554</v>
      </c>
      <c r="W12" s="121">
        <f t="shared" si="2"/>
        <v>10.841315574787547</v>
      </c>
      <c r="X12" s="120">
        <f t="shared" si="5"/>
        <v>45021.017961369209</v>
      </c>
      <c r="Y12" s="120">
        <f t="shared" si="8"/>
        <v>68.149210195377151</v>
      </c>
      <c r="Z12" s="120">
        <v>92</v>
      </c>
      <c r="AA12" s="122">
        <f t="shared" si="6"/>
        <v>45089.167171564586</v>
      </c>
      <c r="AE12" s="142">
        <v>6909.0239698165351</v>
      </c>
      <c r="AF12" s="2">
        <v>6.2860646132157854</v>
      </c>
    </row>
    <row r="13" spans="2:32" ht="20.25" customHeight="1">
      <c r="B13" s="25">
        <v>10</v>
      </c>
      <c r="C13" s="27">
        <v>72</v>
      </c>
      <c r="D13" s="18">
        <f t="shared" si="3"/>
        <v>7344</v>
      </c>
      <c r="E13" s="27">
        <f t="shared" si="7"/>
        <v>7</v>
      </c>
      <c r="F13" s="18">
        <f t="shared" si="4"/>
        <v>1400</v>
      </c>
      <c r="G13" s="17"/>
      <c r="H13" s="21"/>
      <c r="I13" s="127"/>
      <c r="J13" s="127"/>
      <c r="K13" s="127"/>
      <c r="L13" s="127"/>
      <c r="M13" s="127"/>
      <c r="N13" s="130">
        <f t="shared" si="0"/>
        <v>4159.3493227775698</v>
      </c>
      <c r="O13" s="129">
        <f t="shared" ref="O13:O33" si="9">O12</f>
        <v>1</v>
      </c>
      <c r="P13" s="130">
        <f t="shared" si="1"/>
        <v>0</v>
      </c>
      <c r="Q13" s="130"/>
      <c r="R13" s="129"/>
      <c r="S13" s="129"/>
      <c r="U13" s="120">
        <v>13597.807494279175</v>
      </c>
      <c r="V13" s="120">
        <v>4159.3493227775698</v>
      </c>
      <c r="W13" s="121">
        <f t="shared" si="2"/>
        <v>10.840437691695131</v>
      </c>
      <c r="X13" s="120">
        <f t="shared" si="5"/>
        <v>45089.167171564586</v>
      </c>
      <c r="Y13" s="120">
        <f t="shared" si="8"/>
        <v>71.794818534974482</v>
      </c>
      <c r="Z13" s="120">
        <v>92</v>
      </c>
      <c r="AA13" s="122">
        <f t="shared" si="6"/>
        <v>45160.96199009956</v>
      </c>
      <c r="AE13" s="142">
        <v>7315.4371445116249</v>
      </c>
      <c r="AF13" s="2">
        <v>6.6228708265143723</v>
      </c>
    </row>
    <row r="14" spans="2:32" ht="20.25" customHeight="1">
      <c r="B14" s="25">
        <v>11</v>
      </c>
      <c r="C14" s="27">
        <v>70</v>
      </c>
      <c r="D14" s="18">
        <f t="shared" si="3"/>
        <v>7140</v>
      </c>
      <c r="E14" s="27">
        <f t="shared" si="7"/>
        <v>6</v>
      </c>
      <c r="F14" s="18">
        <f t="shared" si="4"/>
        <v>1200</v>
      </c>
      <c r="G14" s="17"/>
      <c r="H14" s="21"/>
      <c r="I14" s="127"/>
      <c r="J14" s="127"/>
      <c r="K14" s="127"/>
      <c r="L14" s="127"/>
      <c r="M14" s="127"/>
      <c r="N14" s="130">
        <f t="shared" si="0"/>
        <v>4165.8244197543027</v>
      </c>
      <c r="O14" s="129">
        <f t="shared" si="9"/>
        <v>1</v>
      </c>
      <c r="P14" s="130">
        <f t="shared" si="1"/>
        <v>0</v>
      </c>
      <c r="Q14" s="130"/>
      <c r="R14" s="129"/>
      <c r="S14" s="129"/>
      <c r="U14" s="120">
        <v>13619.0397597254</v>
      </c>
      <c r="V14" s="120">
        <v>4165.8244197543027</v>
      </c>
      <c r="W14" s="121">
        <f t="shared" si="2"/>
        <v>10.84082223339675</v>
      </c>
      <c r="X14" s="120">
        <f t="shared" si="5"/>
        <v>45160.96199009956</v>
      </c>
      <c r="Y14" s="120">
        <f t="shared" si="8"/>
        <v>70.19537526876563</v>
      </c>
      <c r="Z14" s="120"/>
      <c r="AA14" s="122">
        <f t="shared" si="6"/>
        <v>45231.157365368323</v>
      </c>
      <c r="AE14" s="142">
        <v>7112.23055716408</v>
      </c>
      <c r="AF14" s="2">
        <v>6.475096976732857</v>
      </c>
    </row>
    <row r="15" spans="2:32" ht="20.25" customHeight="1">
      <c r="B15" s="25">
        <v>12</v>
      </c>
      <c r="C15" s="27">
        <v>65</v>
      </c>
      <c r="D15" s="18">
        <f t="shared" si="3"/>
        <v>6630</v>
      </c>
      <c r="E15" s="27">
        <f t="shared" si="7"/>
        <v>6</v>
      </c>
      <c r="F15" s="18">
        <f t="shared" si="4"/>
        <v>1200</v>
      </c>
      <c r="G15" s="17"/>
      <c r="H15" s="21"/>
      <c r="I15" s="127"/>
      <c r="J15" s="127"/>
      <c r="K15" s="127"/>
      <c r="L15" s="127"/>
      <c r="M15" s="127"/>
      <c r="N15" s="130">
        <f t="shared" si="0"/>
        <v>4171.7736781542217</v>
      </c>
      <c r="O15" s="129">
        <f t="shared" si="9"/>
        <v>1</v>
      </c>
      <c r="P15" s="130">
        <f t="shared" si="1"/>
        <v>0</v>
      </c>
      <c r="Q15" s="130"/>
      <c r="R15" s="129"/>
      <c r="S15" s="129"/>
      <c r="U15" s="120">
        <v>13638.610411899313</v>
      </c>
      <c r="V15" s="120">
        <v>4171.7736781542217</v>
      </c>
      <c r="W15" s="121">
        <f t="shared" si="2"/>
        <v>10.842188683970171</v>
      </c>
      <c r="X15" s="120">
        <f t="shared" si="5"/>
        <v>45231.157365368323</v>
      </c>
      <c r="Y15" s="120">
        <f t="shared" si="8"/>
        <v>64.502982101616453</v>
      </c>
      <c r="Z15" s="120"/>
      <c r="AA15" s="122">
        <f t="shared" si="6"/>
        <v>45295.660347469937</v>
      </c>
      <c r="AE15" s="142">
        <v>6604.2140887952173</v>
      </c>
      <c r="AF15" s="2">
        <v>5.9492583999190174</v>
      </c>
    </row>
    <row r="16" spans="2:32" ht="20.25" customHeight="1">
      <c r="B16" s="25">
        <v>13</v>
      </c>
      <c r="C16" s="27">
        <v>65</v>
      </c>
      <c r="D16" s="18">
        <f t="shared" si="3"/>
        <v>6630</v>
      </c>
      <c r="E16" s="27">
        <f t="shared" si="7"/>
        <v>6</v>
      </c>
      <c r="F16" s="18">
        <f t="shared" si="4"/>
        <v>1200</v>
      </c>
      <c r="G16" s="17"/>
      <c r="H16" s="21"/>
      <c r="I16" s="127"/>
      <c r="J16" s="127"/>
      <c r="K16" s="127"/>
      <c r="L16" s="127"/>
      <c r="M16" s="127"/>
      <c r="N16" s="130">
        <f t="shared" si="0"/>
        <v>4177.7229365541398</v>
      </c>
      <c r="O16" s="129">
        <f t="shared" si="9"/>
        <v>1</v>
      </c>
      <c r="P16" s="130">
        <f t="shared" si="1"/>
        <v>0</v>
      </c>
      <c r="Q16" s="130"/>
      <c r="R16" s="129"/>
      <c r="S16" s="129"/>
      <c r="U16" s="120">
        <v>13658.181064073226</v>
      </c>
      <c r="V16" s="120">
        <v>4177.7229365541398</v>
      </c>
      <c r="W16" s="121">
        <f t="shared" si="2"/>
        <v>10.842188683970173</v>
      </c>
      <c r="X16" s="120">
        <f t="shared" si="5"/>
        <v>45295.660347469937</v>
      </c>
      <c r="Y16" s="120">
        <f t="shared" si="8"/>
        <v>64.502982101606605</v>
      </c>
      <c r="Z16" s="120"/>
      <c r="AA16" s="122">
        <f>SUM(X16:Y16)</f>
        <v>45360.163329571544</v>
      </c>
      <c r="AE16" s="142">
        <v>6604.2140887952173</v>
      </c>
      <c r="AF16" s="2">
        <v>5.9492583999181079</v>
      </c>
    </row>
    <row r="17" spans="2:32" ht="20.25" customHeight="1">
      <c r="B17" s="25">
        <v>14</v>
      </c>
      <c r="C17" s="27">
        <v>65</v>
      </c>
      <c r="D17" s="18">
        <f t="shared" si="3"/>
        <v>6630</v>
      </c>
      <c r="E17" s="27">
        <f t="shared" si="7"/>
        <v>6</v>
      </c>
      <c r="F17" s="18">
        <f t="shared" si="4"/>
        <v>1200</v>
      </c>
      <c r="G17" s="17"/>
      <c r="H17" s="21"/>
      <c r="I17" s="127"/>
      <c r="J17" s="127"/>
      <c r="K17" s="127"/>
      <c r="L17" s="127"/>
      <c r="M17" s="127"/>
      <c r="N17" s="130">
        <f t="shared" si="0"/>
        <v>4183.6721949540579</v>
      </c>
      <c r="O17" s="129">
        <f t="shared" si="9"/>
        <v>1</v>
      </c>
      <c r="P17" s="130">
        <f t="shared" si="1"/>
        <v>0</v>
      </c>
      <c r="Q17" s="130"/>
      <c r="R17" s="129"/>
      <c r="S17" s="129"/>
      <c r="U17" s="120">
        <v>13677.751716247139</v>
      </c>
      <c r="V17" s="120">
        <v>4183.6721949540579</v>
      </c>
      <c r="W17" s="121">
        <f t="shared" si="2"/>
        <v>10.842188683970173</v>
      </c>
      <c r="X17" s="120">
        <f t="shared" si="5"/>
        <v>45360.163329571544</v>
      </c>
      <c r="Y17" s="120">
        <f t="shared" si="8"/>
        <v>64.502982101606605</v>
      </c>
      <c r="Z17" s="120"/>
      <c r="AA17" s="122">
        <f t="shared" si="6"/>
        <v>45424.666311673151</v>
      </c>
      <c r="AE17" s="142">
        <v>6604.2140887952173</v>
      </c>
      <c r="AF17" s="2">
        <v>5.9492583999181079</v>
      </c>
    </row>
    <row r="18" spans="2:32" ht="20.25" customHeight="1">
      <c r="B18" s="25">
        <v>15</v>
      </c>
      <c r="C18" s="27">
        <v>65</v>
      </c>
      <c r="D18" s="18">
        <f t="shared" si="3"/>
        <v>6630</v>
      </c>
      <c r="E18" s="27">
        <f t="shared" si="7"/>
        <v>6</v>
      </c>
      <c r="F18" s="18">
        <f t="shared" si="4"/>
        <v>1200</v>
      </c>
      <c r="G18" s="17"/>
      <c r="H18" s="21"/>
      <c r="I18" s="127"/>
      <c r="J18" s="127"/>
      <c r="K18" s="127"/>
      <c r="L18" s="127"/>
      <c r="M18" s="127"/>
      <c r="N18" s="130">
        <f t="shared" si="0"/>
        <v>4189.621453353976</v>
      </c>
      <c r="O18" s="129">
        <f t="shared" si="9"/>
        <v>1</v>
      </c>
      <c r="P18" s="130">
        <f t="shared" si="1"/>
        <v>0</v>
      </c>
      <c r="Q18" s="130"/>
      <c r="R18" s="129"/>
      <c r="S18" s="129"/>
      <c r="U18" s="120">
        <v>13697.322368421053</v>
      </c>
      <c r="V18" s="120">
        <v>4189.621453353976</v>
      </c>
      <c r="W18" s="121">
        <f t="shared" si="2"/>
        <v>10.842188683970173</v>
      </c>
      <c r="X18" s="120">
        <f t="shared" si="5"/>
        <v>45424.666311673151</v>
      </c>
      <c r="Y18" s="120">
        <f t="shared" si="8"/>
        <v>64.502982101606605</v>
      </c>
      <c r="Z18" s="120"/>
      <c r="AA18" s="122">
        <f t="shared" si="6"/>
        <v>45489.169293774758</v>
      </c>
      <c r="AE18" s="142">
        <v>6604.2140887952173</v>
      </c>
      <c r="AF18" s="2">
        <v>5.9492583999181079</v>
      </c>
    </row>
    <row r="19" spans="2:32" ht="20.25" customHeight="1">
      <c r="B19" s="25">
        <v>16</v>
      </c>
      <c r="C19" s="27">
        <v>53</v>
      </c>
      <c r="D19" s="18">
        <f t="shared" si="3"/>
        <v>5406</v>
      </c>
      <c r="E19" s="27">
        <f t="shared" si="7"/>
        <v>5</v>
      </c>
      <c r="F19" s="18">
        <f t="shared" si="4"/>
        <v>1000</v>
      </c>
      <c r="G19" s="17"/>
      <c r="H19" s="21"/>
      <c r="I19" s="127"/>
      <c r="J19" s="127"/>
      <c r="K19" s="127"/>
      <c r="L19" s="127"/>
      <c r="M19" s="127"/>
      <c r="N19" s="130">
        <f t="shared" si="0"/>
        <v>4194.5430329088322</v>
      </c>
      <c r="O19" s="129">
        <f t="shared" si="9"/>
        <v>1</v>
      </c>
      <c r="P19" s="130">
        <f t="shared" si="1"/>
        <v>0</v>
      </c>
      <c r="Q19" s="130"/>
      <c r="R19" s="129"/>
      <c r="S19" s="129"/>
      <c r="U19" s="120">
        <v>13712.938501144165</v>
      </c>
      <c r="V19" s="120">
        <v>4194.5430329088322</v>
      </c>
      <c r="W19" s="121">
        <f t="shared" si="2"/>
        <v>10.844845061043259</v>
      </c>
      <c r="X19" s="120">
        <f t="shared" si="5"/>
        <v>45489.169293774758</v>
      </c>
      <c r="Y19" s="120">
        <f t="shared" si="8"/>
        <v>53.373767728013526</v>
      </c>
      <c r="Z19" s="120"/>
      <c r="AA19" s="122">
        <f t="shared" si="6"/>
        <v>45542.543061502773</v>
      </c>
      <c r="AE19" s="142">
        <v>5384.9745647099462</v>
      </c>
      <c r="AF19" s="2">
        <v>4.92157955485618</v>
      </c>
    </row>
    <row r="20" spans="2:32" ht="20.25" customHeight="1">
      <c r="B20" s="25">
        <v>17</v>
      </c>
      <c r="C20" s="27">
        <v>53</v>
      </c>
      <c r="D20" s="18">
        <f t="shared" si="3"/>
        <v>5406</v>
      </c>
      <c r="E20" s="27">
        <f t="shared" si="7"/>
        <v>5</v>
      </c>
      <c r="F20" s="18">
        <f t="shared" si="4"/>
        <v>1000</v>
      </c>
      <c r="G20" s="17"/>
      <c r="H20" s="21"/>
      <c r="I20" s="127"/>
      <c r="J20" s="127"/>
      <c r="K20" s="127"/>
      <c r="L20" s="127"/>
      <c r="M20" s="127"/>
      <c r="N20" s="130">
        <f t="shared" si="0"/>
        <v>4199.3993556413825</v>
      </c>
      <c r="O20" s="129">
        <f t="shared" si="9"/>
        <v>1</v>
      </c>
      <c r="P20" s="130">
        <f t="shared" si="1"/>
        <v>0</v>
      </c>
      <c r="Q20" s="130"/>
      <c r="R20" s="129"/>
      <c r="S20" s="129"/>
      <c r="U20" s="120">
        <v>13728.862700228832</v>
      </c>
      <c r="V20" s="120">
        <v>4199.3993556413825</v>
      </c>
      <c r="W20" s="121">
        <f t="shared" si="2"/>
        <v>10.845013585174247</v>
      </c>
      <c r="X20" s="120">
        <f t="shared" si="5"/>
        <v>45542.543061502773</v>
      </c>
      <c r="Y20" s="120">
        <f t="shared" si="8"/>
        <v>52.666886008498793</v>
      </c>
      <c r="Z20" s="120"/>
      <c r="AA20" s="122">
        <f t="shared" si="6"/>
        <v>45595.20994751127</v>
      </c>
      <c r="AE20" s="142">
        <v>5384.9745647099462</v>
      </c>
      <c r="AF20" s="2">
        <v>4.8563227325503249</v>
      </c>
    </row>
    <row r="21" spans="2:32" ht="20.25" customHeight="1">
      <c r="B21" s="25">
        <v>18</v>
      </c>
      <c r="C21" s="27">
        <v>53</v>
      </c>
      <c r="D21" s="18">
        <f t="shared" si="3"/>
        <v>5406</v>
      </c>
      <c r="E21" s="27">
        <f t="shared" si="7"/>
        <v>5</v>
      </c>
      <c r="F21" s="18">
        <f t="shared" si="4"/>
        <v>1000</v>
      </c>
      <c r="G21" s="17"/>
      <c r="H21" s="21"/>
      <c r="I21" s="127"/>
      <c r="J21" s="127"/>
      <c r="K21" s="127"/>
      <c r="L21" s="127"/>
      <c r="M21" s="127"/>
      <c r="N21" s="130">
        <f t="shared" si="0"/>
        <v>4204.2556783739328</v>
      </c>
      <c r="O21" s="129">
        <f t="shared" si="9"/>
        <v>1</v>
      </c>
      <c r="P21" s="130">
        <f t="shared" si="1"/>
        <v>0</v>
      </c>
      <c r="Q21" s="130"/>
      <c r="R21" s="129"/>
      <c r="S21" s="129"/>
      <c r="U21" s="120">
        <v>13744.786899313502</v>
      </c>
      <c r="V21" s="120">
        <v>4204.2556783739328</v>
      </c>
      <c r="W21" s="121">
        <f t="shared" si="2"/>
        <v>10.845013585174247</v>
      </c>
      <c r="X21" s="120">
        <f t="shared" si="5"/>
        <v>45595.20994751127</v>
      </c>
      <c r="Y21" s="120">
        <f t="shared" si="8"/>
        <v>52.666886008498793</v>
      </c>
      <c r="Z21" s="120"/>
      <c r="AA21" s="122">
        <f t="shared" si="6"/>
        <v>45647.876833519767</v>
      </c>
      <c r="AE21" s="142">
        <v>5384.9745647099462</v>
      </c>
      <c r="AF21" s="2">
        <v>4.8563227325503249</v>
      </c>
    </row>
    <row r="22" spans="2:32" s="3" customFormat="1" ht="20.25" customHeight="1">
      <c r="B22" s="25">
        <v>19</v>
      </c>
      <c r="C22" s="27">
        <v>53</v>
      </c>
      <c r="D22" s="18">
        <f t="shared" si="3"/>
        <v>5406</v>
      </c>
      <c r="E22" s="27">
        <f t="shared" si="7"/>
        <v>5</v>
      </c>
      <c r="F22" s="18">
        <f t="shared" si="4"/>
        <v>1000</v>
      </c>
      <c r="G22" s="17"/>
      <c r="H22" s="21"/>
      <c r="I22" s="127"/>
      <c r="J22" s="127"/>
      <c r="K22" s="127"/>
      <c r="L22" s="127"/>
      <c r="M22" s="127"/>
      <c r="N22" s="130">
        <f t="shared" si="0"/>
        <v>4209.1120011064831</v>
      </c>
      <c r="O22" s="129">
        <f t="shared" si="9"/>
        <v>1</v>
      </c>
      <c r="P22" s="130">
        <f t="shared" si="1"/>
        <v>0</v>
      </c>
      <c r="Q22" s="130"/>
      <c r="R22" s="129"/>
      <c r="S22" s="129"/>
      <c r="U22" s="120">
        <v>13760.711098398169</v>
      </c>
      <c r="V22" s="120">
        <v>4209.1120011064831</v>
      </c>
      <c r="W22" s="121">
        <f t="shared" si="2"/>
        <v>10.845013585174247</v>
      </c>
      <c r="X22" s="120">
        <f t="shared" si="5"/>
        <v>45647.876833519767</v>
      </c>
      <c r="Y22" s="120">
        <f t="shared" si="8"/>
        <v>52.666886008498793</v>
      </c>
      <c r="Z22" s="120"/>
      <c r="AA22" s="122">
        <f t="shared" si="6"/>
        <v>45700.543719528265</v>
      </c>
      <c r="AE22" s="141">
        <v>5384.9745647099462</v>
      </c>
      <c r="AF22" s="3">
        <v>4.8563227325503249</v>
      </c>
    </row>
    <row r="23" spans="2:32" ht="20.25" customHeight="1">
      <c r="B23" s="25">
        <v>20</v>
      </c>
      <c r="C23" s="27">
        <v>53</v>
      </c>
      <c r="D23" s="18">
        <f t="shared" si="3"/>
        <v>5406</v>
      </c>
      <c r="E23" s="27">
        <f t="shared" si="7"/>
        <v>5</v>
      </c>
      <c r="F23" s="18">
        <f t="shared" si="4"/>
        <v>1000</v>
      </c>
      <c r="G23" s="17"/>
      <c r="H23" s="21"/>
      <c r="I23" s="127"/>
      <c r="J23" s="127"/>
      <c r="K23" s="127"/>
      <c r="L23" s="127"/>
      <c r="M23" s="127"/>
      <c r="N23" s="130">
        <f t="shared" si="0"/>
        <v>4213.9683238390335</v>
      </c>
      <c r="O23" s="129">
        <f t="shared" si="9"/>
        <v>1</v>
      </c>
      <c r="P23" s="130">
        <f t="shared" si="1"/>
        <v>0</v>
      </c>
      <c r="Q23" s="130"/>
      <c r="R23" s="129"/>
      <c r="S23" s="129"/>
      <c r="U23" s="120">
        <v>13776.635297482837</v>
      </c>
      <c r="V23" s="120">
        <v>4213.9683238390335</v>
      </c>
      <c r="W23" s="121">
        <f t="shared" si="2"/>
        <v>10.845013585174247</v>
      </c>
      <c r="X23" s="120">
        <f t="shared" si="5"/>
        <v>45700.543719528265</v>
      </c>
      <c r="Y23" s="120">
        <f t="shared" si="8"/>
        <v>52.666886008498793</v>
      </c>
      <c r="Z23" s="120"/>
      <c r="AA23" s="122">
        <f>SUM(X23:Y23)</f>
        <v>45753.210605536762</v>
      </c>
      <c r="AE23" s="142">
        <v>5384.9745647099462</v>
      </c>
      <c r="AF23" s="2">
        <v>4.8563227325503249</v>
      </c>
    </row>
    <row r="24" spans="2:32" ht="20.25" customHeight="1">
      <c r="B24" s="25">
        <v>21</v>
      </c>
      <c r="C24" s="27">
        <v>66</v>
      </c>
      <c r="D24" s="18">
        <f t="shared" si="3"/>
        <v>6732</v>
      </c>
      <c r="E24" s="27">
        <f t="shared" si="7"/>
        <v>6</v>
      </c>
      <c r="F24" s="18">
        <f t="shared" si="4"/>
        <v>1200</v>
      </c>
      <c r="G24" s="17"/>
      <c r="H24" s="21"/>
      <c r="I24" s="127"/>
      <c r="J24" s="127"/>
      <c r="K24" s="127"/>
      <c r="L24" s="127"/>
      <c r="M24" s="127"/>
      <c r="N24" s="130">
        <f t="shared" si="0"/>
        <v>4220.0240975749948</v>
      </c>
      <c r="O24" s="129">
        <f t="shared" si="9"/>
        <v>1</v>
      </c>
      <c r="P24" s="130">
        <f t="shared" si="1"/>
        <v>0</v>
      </c>
      <c r="Q24" s="130"/>
      <c r="R24" s="129"/>
      <c r="S24" s="129"/>
      <c r="U24" s="120">
        <v>13796.221109839817</v>
      </c>
      <c r="V24" s="120">
        <v>4220.0240975749948</v>
      </c>
      <c r="W24" s="121">
        <f t="shared" si="2"/>
        <v>10.841931123528063</v>
      </c>
      <c r="X24" s="120">
        <f t="shared" si="5"/>
        <v>45753.210605536762</v>
      </c>
      <c r="Y24" s="120">
        <f t="shared" si="8"/>
        <v>65.656281744963053</v>
      </c>
      <c r="Z24" s="120"/>
      <c r="AA24" s="122">
        <f>SUM(X24:Y24)</f>
        <v>45818.866887281722</v>
      </c>
      <c r="AE24" s="142">
        <v>6705.8173824689893</v>
      </c>
      <c r="AF24" s="2">
        <v>6.0557737359613384</v>
      </c>
    </row>
    <row r="25" spans="2:32" ht="20.25" customHeight="1">
      <c r="B25" s="25">
        <v>22</v>
      </c>
      <c r="C25" s="27">
        <v>45</v>
      </c>
      <c r="D25" s="18">
        <f t="shared" si="3"/>
        <v>4590</v>
      </c>
      <c r="E25" s="27">
        <f t="shared" si="7"/>
        <v>4</v>
      </c>
      <c r="F25" s="18">
        <f t="shared" si="4"/>
        <v>800</v>
      </c>
      <c r="G25" s="17"/>
      <c r="H25" s="21"/>
      <c r="I25" s="127"/>
      <c r="J25" s="127"/>
      <c r="K25" s="127"/>
      <c r="L25" s="127"/>
      <c r="M25" s="127"/>
      <c r="N25" s="130">
        <f t="shared" si="0"/>
        <v>4224.1655493672115</v>
      </c>
      <c r="O25" s="129">
        <f t="shared" si="9"/>
        <v>1</v>
      </c>
      <c r="P25" s="130">
        <f t="shared" si="1"/>
        <v>0</v>
      </c>
      <c r="Q25" s="130"/>
      <c r="R25" s="129"/>
      <c r="S25" s="129"/>
      <c r="U25" s="120">
        <v>13809.822082379862</v>
      </c>
      <c r="V25" s="120">
        <v>4224.1655493672115</v>
      </c>
      <c r="W25" s="121">
        <f t="shared" si="2"/>
        <v>10.846844507347843</v>
      </c>
      <c r="X25" s="120">
        <f t="shared" si="5"/>
        <v>45818.866887281722</v>
      </c>
      <c r="Y25" s="120">
        <f t="shared" si="8"/>
        <v>44.921683624851433</v>
      </c>
      <c r="Z25" s="120"/>
      <c r="AA25" s="122">
        <f>SUM(X25:Y25)</f>
        <v>45863.788570906574</v>
      </c>
      <c r="AE25" s="142">
        <v>4572.1482153197658</v>
      </c>
      <c r="AF25" s="2">
        <v>4.1414517922166851</v>
      </c>
    </row>
    <row r="26" spans="2:32" s="3" customFormat="1" ht="20.25" customHeight="1">
      <c r="B26" s="25">
        <v>23</v>
      </c>
      <c r="C26" s="27">
        <v>45</v>
      </c>
      <c r="D26" s="18">
        <f t="shared" si="3"/>
        <v>4590</v>
      </c>
      <c r="E26" s="27">
        <f t="shared" si="7"/>
        <v>4</v>
      </c>
      <c r="F26" s="18">
        <f t="shared" si="4"/>
        <v>800</v>
      </c>
      <c r="G26" s="17"/>
      <c r="H26" s="21"/>
      <c r="I26" s="127"/>
      <c r="J26" s="127"/>
      <c r="K26" s="127"/>
      <c r="L26" s="127"/>
      <c r="M26" s="127"/>
      <c r="N26" s="130">
        <f t="shared" si="0"/>
        <v>4228.30700115943</v>
      </c>
      <c r="O26" s="129">
        <f t="shared" si="9"/>
        <v>1</v>
      </c>
      <c r="P26" s="130">
        <f t="shared" si="1"/>
        <v>0</v>
      </c>
      <c r="Q26" s="130"/>
      <c r="R26" s="129"/>
      <c r="S26" s="129"/>
      <c r="U26" s="120">
        <v>13823.423054919909</v>
      </c>
      <c r="V26" s="120">
        <v>4228.30700115943</v>
      </c>
      <c r="W26" s="121">
        <f t="shared" si="2"/>
        <v>10.846844507347839</v>
      </c>
      <c r="X26" s="120">
        <f t="shared" si="5"/>
        <v>45863.788570906574</v>
      </c>
      <c r="Y26" s="120">
        <f t="shared" si="8"/>
        <v>44.921683624871143</v>
      </c>
      <c r="Z26" s="120"/>
      <c r="AA26" s="122">
        <f>SUM(X26:Y26)</f>
        <v>45908.710254531448</v>
      </c>
      <c r="AE26" s="141">
        <v>4572.1482153197658</v>
      </c>
      <c r="AF26" s="3">
        <v>4.1414517922185041</v>
      </c>
    </row>
    <row r="27" spans="2:32" s="3" customFormat="1" ht="20.25" customHeight="1">
      <c r="B27" s="25">
        <v>24</v>
      </c>
      <c r="C27" s="27">
        <v>45</v>
      </c>
      <c r="D27" s="18">
        <f t="shared" si="3"/>
        <v>4590</v>
      </c>
      <c r="E27" s="27">
        <f t="shared" si="7"/>
        <v>4</v>
      </c>
      <c r="F27" s="18">
        <f t="shared" si="4"/>
        <v>800</v>
      </c>
      <c r="G27" s="17"/>
      <c r="H27" s="21"/>
      <c r="I27" s="127"/>
      <c r="J27" s="127"/>
      <c r="K27" s="127"/>
      <c r="L27" s="127"/>
      <c r="M27" s="127"/>
      <c r="N27" s="130">
        <f t="shared" si="0"/>
        <v>4232.4484529516467</v>
      </c>
      <c r="O27" s="129">
        <f t="shared" si="9"/>
        <v>1</v>
      </c>
      <c r="P27" s="130">
        <f t="shared" si="1"/>
        <v>0</v>
      </c>
      <c r="Q27" s="130"/>
      <c r="R27" s="129"/>
      <c r="S27" s="129"/>
      <c r="U27" s="120">
        <v>13837.024027459955</v>
      </c>
      <c r="V27" s="120">
        <v>4232.4484529516467</v>
      </c>
      <c r="W27" s="121">
        <f t="shared" si="2"/>
        <v>10.846844507347845</v>
      </c>
      <c r="X27" s="120">
        <f t="shared" si="5"/>
        <v>45908.710254531448</v>
      </c>
      <c r="Y27" s="120">
        <f t="shared" si="8"/>
        <v>44.92168362485144</v>
      </c>
      <c r="Z27" s="120"/>
      <c r="AA27" s="122">
        <f>SUM(X27:Y27)</f>
        <v>45953.631938156301</v>
      </c>
      <c r="AE27" s="141">
        <v>4572.1482153197658</v>
      </c>
      <c r="AF27" s="3">
        <v>4.1414517922166851</v>
      </c>
    </row>
    <row r="28" spans="2:32" ht="20.25" customHeight="1">
      <c r="B28" s="25">
        <v>25</v>
      </c>
      <c r="C28" s="27">
        <v>45</v>
      </c>
      <c r="D28" s="18">
        <f t="shared" si="3"/>
        <v>4590</v>
      </c>
      <c r="E28" s="27">
        <f t="shared" si="7"/>
        <v>4</v>
      </c>
      <c r="F28" s="18">
        <f t="shared" si="4"/>
        <v>800</v>
      </c>
      <c r="G28" s="17"/>
      <c r="H28" s="21"/>
      <c r="I28" s="127"/>
      <c r="J28" s="127"/>
      <c r="K28" s="127"/>
      <c r="L28" s="127"/>
      <c r="M28" s="127"/>
      <c r="N28" s="130">
        <f t="shared" si="0"/>
        <v>4236.5899047438634</v>
      </c>
      <c r="O28" s="129">
        <f t="shared" si="9"/>
        <v>1</v>
      </c>
      <c r="P28" s="130">
        <f t="shared" si="1"/>
        <v>0</v>
      </c>
      <c r="Q28" s="130"/>
      <c r="R28" s="129"/>
      <c r="S28" s="129"/>
      <c r="U28" s="120">
        <v>13850.625</v>
      </c>
      <c r="V28" s="120">
        <v>4236.5899047438634</v>
      </c>
      <c r="W28" s="121">
        <f t="shared" si="2"/>
        <v>10.846844507347845</v>
      </c>
      <c r="X28" s="120">
        <f t="shared" si="5"/>
        <v>45953.631938156301</v>
      </c>
      <c r="Y28" s="120">
        <f t="shared" si="8"/>
        <v>44.92168362485144</v>
      </c>
      <c r="Z28" s="120"/>
      <c r="AA28" s="122">
        <f t="shared" ref="AA28:AA33" si="10">SUM(X28:Y28)</f>
        <v>45998.553621781153</v>
      </c>
      <c r="AE28" s="142">
        <v>4572.1482153197658</v>
      </c>
      <c r="AF28" s="2">
        <v>4.1414517922166851</v>
      </c>
    </row>
    <row r="29" spans="2:32" ht="20.25" customHeight="1">
      <c r="B29" s="25">
        <v>26</v>
      </c>
      <c r="C29" s="27">
        <v>66</v>
      </c>
      <c r="D29" s="18">
        <f t="shared" si="3"/>
        <v>6732</v>
      </c>
      <c r="E29" s="27">
        <f t="shared" si="7"/>
        <v>6</v>
      </c>
      <c r="F29" s="18">
        <f t="shared" si="4"/>
        <v>1200</v>
      </c>
      <c r="G29" s="17"/>
      <c r="H29" s="21"/>
      <c r="I29" s="127"/>
      <c r="J29" s="127"/>
      <c r="K29" s="127"/>
      <c r="L29" s="127"/>
      <c r="M29" s="127"/>
      <c r="N29" s="130">
        <f t="shared" si="0"/>
        <v>4242.6456784798256</v>
      </c>
      <c r="O29" s="129">
        <f t="shared" si="9"/>
        <v>1</v>
      </c>
      <c r="P29" s="130">
        <f t="shared" si="1"/>
        <v>0</v>
      </c>
      <c r="Q29" s="130"/>
      <c r="R29" s="129"/>
      <c r="S29" s="129"/>
      <c r="U29" s="120">
        <v>13870.21081235698</v>
      </c>
      <c r="V29" s="120">
        <v>4242.6456784798256</v>
      </c>
      <c r="W29" s="121">
        <f t="shared" si="2"/>
        <v>10.841950308295084</v>
      </c>
      <c r="X29" s="120">
        <f t="shared" si="5"/>
        <v>45998.553621781153</v>
      </c>
      <c r="Y29" s="120">
        <f t="shared" si="8"/>
        <v>65.656397923581167</v>
      </c>
      <c r="Z29" s="120"/>
      <c r="AA29" s="122">
        <f t="shared" si="10"/>
        <v>46064.210019704733</v>
      </c>
      <c r="AE29" s="142">
        <v>6705.8173824689893</v>
      </c>
      <c r="AF29" s="2">
        <v>6.0557737359622479</v>
      </c>
    </row>
    <row r="30" spans="2:32" ht="20.25" customHeight="1">
      <c r="B30" s="25">
        <v>27</v>
      </c>
      <c r="C30" s="27">
        <v>47</v>
      </c>
      <c r="D30" s="18">
        <f t="shared" si="3"/>
        <v>4794</v>
      </c>
      <c r="E30" s="27">
        <f t="shared" si="7"/>
        <v>4</v>
      </c>
      <c r="F30" s="18">
        <f t="shared" si="4"/>
        <v>800</v>
      </c>
      <c r="G30" s="17"/>
      <c r="H30" s="21"/>
      <c r="I30" s="127"/>
      <c r="J30" s="127"/>
      <c r="K30" s="127"/>
      <c r="L30" s="127"/>
      <c r="M30" s="127"/>
      <c r="N30" s="130">
        <f t="shared" si="0"/>
        <v>4246.9761626355603</v>
      </c>
      <c r="O30" s="129">
        <f t="shared" si="9"/>
        <v>1</v>
      </c>
      <c r="P30" s="130">
        <f t="shared" si="1"/>
        <v>0</v>
      </c>
      <c r="Q30" s="130"/>
      <c r="R30" s="129"/>
      <c r="S30" s="129"/>
      <c r="U30" s="120">
        <v>13884.473398169337</v>
      </c>
      <c r="V30" s="120">
        <v>4246.9761626355603</v>
      </c>
      <c r="W30" s="121">
        <f t="shared" si="2"/>
        <v>10.846354737041546</v>
      </c>
      <c r="X30" s="120">
        <f t="shared" si="5"/>
        <v>46064.210019704733</v>
      </c>
      <c r="Y30" s="120">
        <f t="shared" si="8"/>
        <v>46.96996733623606</v>
      </c>
      <c r="Z30" s="120"/>
      <c r="AA30" s="122">
        <f t="shared" si="10"/>
        <v>46111.179987040967</v>
      </c>
      <c r="AE30" s="142">
        <v>4775.3548026673107</v>
      </c>
      <c r="AF30" s="2">
        <v>4.3304841557346663</v>
      </c>
    </row>
    <row r="31" spans="2:32" ht="20.25" customHeight="1">
      <c r="B31" s="25">
        <v>28</v>
      </c>
      <c r="C31" s="27">
        <v>49</v>
      </c>
      <c r="D31" s="18">
        <f t="shared" si="3"/>
        <v>4998</v>
      </c>
      <c r="E31" s="27">
        <f t="shared" si="7"/>
        <v>4</v>
      </c>
      <c r="F31" s="18">
        <f t="shared" si="4"/>
        <v>800</v>
      </c>
      <c r="G31" s="17"/>
      <c r="H31" s="21"/>
      <c r="I31" s="127"/>
      <c r="J31" s="127"/>
      <c r="K31" s="127"/>
      <c r="L31" s="127"/>
      <c r="M31" s="127"/>
      <c r="N31" s="130">
        <f t="shared" si="0"/>
        <v>4251.4544206410756</v>
      </c>
      <c r="O31" s="129">
        <f t="shared" si="9"/>
        <v>1</v>
      </c>
      <c r="P31" s="130">
        <f t="shared" si="1"/>
        <v>0</v>
      </c>
      <c r="Q31" s="130"/>
      <c r="R31" s="129"/>
      <c r="S31" s="129"/>
      <c r="U31" s="120">
        <v>13899.074370709382</v>
      </c>
      <c r="V31" s="120">
        <v>4251.4544206410756</v>
      </c>
      <c r="W31" s="121">
        <f t="shared" si="2"/>
        <v>10.845977734858998</v>
      </c>
      <c r="X31" s="120">
        <f t="shared" si="5"/>
        <v>46111.179987040967</v>
      </c>
      <c r="Y31" s="120">
        <f t="shared" si="8"/>
        <v>48.571086618772704</v>
      </c>
      <c r="Z31" s="120"/>
      <c r="AA31" s="122">
        <f t="shared" si="10"/>
        <v>46159.75107365974</v>
      </c>
      <c r="AE31" s="142">
        <v>4978.5613900148555</v>
      </c>
      <c r="AF31" s="2">
        <v>4.4782580055152721</v>
      </c>
    </row>
    <row r="32" spans="2:32" ht="20.25" customHeight="1">
      <c r="B32" s="25">
        <v>29</v>
      </c>
      <c r="C32" s="27">
        <v>51</v>
      </c>
      <c r="D32" s="18">
        <f t="shared" si="3"/>
        <v>5202</v>
      </c>
      <c r="E32" s="27">
        <f t="shared" si="7"/>
        <v>5</v>
      </c>
      <c r="F32" s="18">
        <f t="shared" si="4"/>
        <v>1000</v>
      </c>
      <c r="G32" s="17"/>
      <c r="H32" s="21"/>
      <c r="I32" s="127"/>
      <c r="J32" s="127"/>
      <c r="K32" s="127"/>
      <c r="L32" s="127"/>
      <c r="M32" s="127"/>
      <c r="N32" s="130">
        <f t="shared" si="0"/>
        <v>4256.1217110101079</v>
      </c>
      <c r="O32" s="129">
        <f t="shared" si="9"/>
        <v>1</v>
      </c>
      <c r="P32" s="130">
        <f t="shared" si="1"/>
        <v>0</v>
      </c>
      <c r="Q32" s="130"/>
      <c r="R32" s="129"/>
      <c r="S32" s="129"/>
      <c r="U32" s="120">
        <v>13914.33695652174</v>
      </c>
      <c r="V32" s="120">
        <v>4256.1217110101079</v>
      </c>
      <c r="W32" s="121">
        <f t="shared" si="2"/>
        <v>10.845496019122212</v>
      </c>
      <c r="X32" s="120">
        <f t="shared" si="5"/>
        <v>46159.75107365974</v>
      </c>
      <c r="Y32" s="120">
        <f t="shared" si="8"/>
        <v>50.619079117427724</v>
      </c>
      <c r="Z32" s="120"/>
      <c r="AA32" s="122">
        <f t="shared" si="10"/>
        <v>46210.37015277717</v>
      </c>
      <c r="AE32" s="142">
        <v>5181.7679773624013</v>
      </c>
      <c r="AF32" s="2">
        <v>4.6672903690323437</v>
      </c>
    </row>
    <row r="33" spans="2:32" ht="20.25" customHeight="1" thickBot="1">
      <c r="B33" s="26">
        <v>30</v>
      </c>
      <c r="C33" s="384">
        <v>27</v>
      </c>
      <c r="D33" s="385">
        <f t="shared" si="3"/>
        <v>2754</v>
      </c>
      <c r="E33" s="386">
        <f t="shared" si="7"/>
        <v>3</v>
      </c>
      <c r="F33" s="385">
        <f t="shared" si="4"/>
        <v>600</v>
      </c>
      <c r="G33" s="20"/>
      <c r="H33" s="22"/>
      <c r="I33" s="127"/>
      <c r="J33" s="127"/>
      <c r="K33" s="127"/>
      <c r="L33" s="127"/>
      <c r="M33" s="127"/>
      <c r="N33" s="130">
        <f t="shared" si="0"/>
        <v>4258.6443885581421</v>
      </c>
      <c r="O33" s="129">
        <f t="shared" si="9"/>
        <v>1</v>
      </c>
      <c r="P33" s="130">
        <f t="shared" si="1"/>
        <v>0</v>
      </c>
      <c r="Q33" s="130"/>
      <c r="R33" s="129"/>
      <c r="S33" s="129"/>
      <c r="U33" s="123">
        <v>13922.629862700229</v>
      </c>
      <c r="V33" s="123">
        <v>4258.6443885581421</v>
      </c>
      <c r="W33" s="121">
        <f t="shared" si="2"/>
        <v>10.850957707793656</v>
      </c>
      <c r="X33" s="120">
        <f t="shared" si="5"/>
        <v>46210.37015277717</v>
      </c>
      <c r="Y33" s="120">
        <f t="shared" si="8"/>
        <v>27.373467384119191</v>
      </c>
      <c r="Z33" s="123"/>
      <c r="AA33" s="122">
        <f t="shared" si="10"/>
        <v>46237.743620161287</v>
      </c>
      <c r="AE33" s="142">
        <v>2743.2889291918596</v>
      </c>
      <c r="AF33" s="2">
        <v>2.522677548034153</v>
      </c>
    </row>
    <row r="34" spans="2:32">
      <c r="C34" s="14"/>
      <c r="D34" s="7"/>
      <c r="E34" s="14"/>
      <c r="F34" s="7"/>
      <c r="G34" s="14"/>
      <c r="H34" s="7"/>
      <c r="I34" s="7"/>
      <c r="J34" s="7"/>
      <c r="K34" s="7"/>
      <c r="L34" s="7"/>
      <c r="M34" s="7"/>
      <c r="N34" s="7"/>
      <c r="O34" s="7"/>
      <c r="P34" s="7">
        <f>SUM(P4:P33)</f>
        <v>822.15898295091438</v>
      </c>
      <c r="Q34" s="7">
        <f>SUM(Q4:Q33)</f>
        <v>822</v>
      </c>
      <c r="R34" s="7"/>
      <c r="S34" s="7"/>
      <c r="AA34" s="124">
        <f>SUM(X34:Y34)</f>
        <v>0</v>
      </c>
    </row>
    <row r="35" spans="2:32">
      <c r="C35" s="570">
        <f>SUM(C4:C33)</f>
        <v>6114.261036817682</v>
      </c>
      <c r="E35" s="570">
        <f>SUM(E4:E33)</f>
        <v>257.18900769150969</v>
      </c>
      <c r="G35" s="570">
        <f>SUM(G4:G33)</f>
        <v>231.00525101320758</v>
      </c>
      <c r="Q35" s="9">
        <f>P34-Q34</f>
        <v>0.15898295091437831</v>
      </c>
    </row>
    <row r="36" spans="2:32" ht="30" customHeight="1">
      <c r="D36" s="128">
        <v>102</v>
      </c>
      <c r="F36" s="128">
        <v>200</v>
      </c>
      <c r="H36" s="128">
        <v>112.1</v>
      </c>
      <c r="I36" s="128"/>
      <c r="J36" s="128"/>
      <c r="K36" s="128"/>
      <c r="L36" s="128"/>
    </row>
    <row r="38" spans="2:32">
      <c r="AE38" s="9">
        <f>SUM(AE4:AE33)</f>
        <v>185121.20107361357</v>
      </c>
    </row>
    <row r="39" spans="2:32">
      <c r="D39" s="9">
        <f>SUM(D4:D33)</f>
        <v>623654.62575540366</v>
      </c>
      <c r="F39" s="9">
        <f>SUM(F4:F33)</f>
        <v>51437.801538301937</v>
      </c>
      <c r="H39" s="9">
        <f>SUM(H4:H33)</f>
        <v>25895.68863858057</v>
      </c>
      <c r="I39" s="9"/>
    </row>
  </sheetData>
  <mergeCells count="19">
    <mergeCell ref="G2:G3"/>
    <mergeCell ref="H2:H3"/>
    <mergeCell ref="F2:F3"/>
    <mergeCell ref="B2:B3"/>
    <mergeCell ref="C2:C3"/>
    <mergeCell ref="D2:D3"/>
    <mergeCell ref="E2:E3"/>
    <mergeCell ref="Z2:Z3"/>
    <mergeCell ref="AA2:AA3"/>
    <mergeCell ref="U1:AA1"/>
    <mergeCell ref="N2:N3"/>
    <mergeCell ref="O2:O3"/>
    <mergeCell ref="P2:P3"/>
    <mergeCell ref="Q2:Q3"/>
    <mergeCell ref="U2:U3"/>
    <mergeCell ref="V2:V3"/>
    <mergeCell ref="W2:W3"/>
    <mergeCell ref="X2:X3"/>
    <mergeCell ref="Y2:Y3"/>
  </mergeCells>
  <phoneticPr fontId="12" type="noConversion"/>
  <printOptions horizontalCentered="1"/>
  <pageMargins left="0.98425196850393704" right="0.59055118110236227" top="1.9685039370078741" bottom="1.0629921259842521" header="0.39370078740157483" footer="0.39370078740157483"/>
  <pageSetup paperSize="9" scale="78" orientation="portrait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16">
    <tabColor rgb="FF00B050"/>
  </sheetPr>
  <dimension ref="B1:U39"/>
  <sheetViews>
    <sheetView showGridLines="0" workbookViewId="0">
      <selection activeCell="B20" sqref="B20"/>
    </sheetView>
  </sheetViews>
  <sheetFormatPr defaultColWidth="11.5703125" defaultRowHeight="12.75"/>
  <cols>
    <col min="1" max="1" width="2.7109375" style="2" customWidth="1"/>
    <col min="2" max="2" width="8.85546875" style="2" customWidth="1"/>
    <col min="3" max="6" width="19.5703125" style="2" customWidth="1"/>
    <col min="7" max="7" width="2.7109375" style="2" customWidth="1"/>
    <col min="8" max="8" width="13.85546875" style="2" bestFit="1" customWidth="1"/>
    <col min="9" max="15" width="13.85546875" style="2" customWidth="1"/>
    <col min="16" max="22" width="11.5703125" style="2" customWidth="1"/>
    <col min="23" max="16384" width="11.5703125" style="2"/>
  </cols>
  <sheetData>
    <row r="1" spans="2:21" s="1" customFormat="1" ht="30" customHeight="1" thickBot="1">
      <c r="B1" s="32" t="s">
        <v>47</v>
      </c>
      <c r="C1" s="19"/>
      <c r="D1" s="19"/>
      <c r="E1" s="19"/>
      <c r="F1" s="19"/>
    </row>
    <row r="2" spans="2:21" ht="21.75" customHeight="1">
      <c r="B2" s="1258" t="s">
        <v>1</v>
      </c>
      <c r="C2" s="1260" t="s">
        <v>14</v>
      </c>
      <c r="D2" s="1263" t="s">
        <v>347</v>
      </c>
      <c r="E2" s="1256" t="s">
        <v>15</v>
      </c>
      <c r="F2" s="1256" t="s">
        <v>348</v>
      </c>
      <c r="G2" s="4"/>
      <c r="H2" s="4"/>
      <c r="I2" s="4"/>
      <c r="J2" s="4"/>
      <c r="K2" s="4"/>
      <c r="L2" s="4"/>
      <c r="M2" s="4"/>
      <c r="N2" s="4"/>
      <c r="O2" s="4"/>
      <c r="Q2" s="1256" t="s">
        <v>80</v>
      </c>
      <c r="R2" s="1256" t="s">
        <v>81</v>
      </c>
      <c r="S2" s="1256" t="s">
        <v>82</v>
      </c>
    </row>
    <row r="3" spans="2:21" s="3" customFormat="1" ht="45.75" customHeight="1" thickBot="1">
      <c r="B3" s="1259"/>
      <c r="C3" s="1261"/>
      <c r="D3" s="1264"/>
      <c r="E3" s="1257"/>
      <c r="F3" s="1257"/>
      <c r="G3"/>
      <c r="H3" s="602" t="s">
        <v>400</v>
      </c>
      <c r="I3" s="758" t="s">
        <v>401</v>
      </c>
      <c r="J3" s="759" t="s">
        <v>462</v>
      </c>
      <c r="K3" s="760" t="s">
        <v>463</v>
      </c>
      <c r="L3"/>
      <c r="M3"/>
      <c r="N3"/>
      <c r="O3"/>
      <c r="Q3" s="1257"/>
      <c r="R3" s="1257"/>
      <c r="S3" s="1257"/>
    </row>
    <row r="4" spans="2:21" ht="20.25" customHeight="1">
      <c r="B4" s="33">
        <v>1</v>
      </c>
      <c r="C4" s="809">
        <f>'17 R1 INV'!I35/'17 R1 INV'!F35</f>
        <v>124.19385439137673</v>
      </c>
      <c r="D4" s="807">
        <f t="shared" ref="D4:D33" si="0">C4*$D$36</f>
        <v>37879.125589369905</v>
      </c>
      <c r="E4" s="810">
        <v>0</v>
      </c>
      <c r="F4" s="811">
        <f>E4*F36</f>
        <v>0</v>
      </c>
      <c r="G4" s="12"/>
      <c r="H4" s="755">
        <v>4</v>
      </c>
      <c r="I4" s="756">
        <v>0</v>
      </c>
      <c r="J4" s="757">
        <f>'17 R1 INV'!I35</f>
        <v>37879.125589369905</v>
      </c>
      <c r="K4" s="761">
        <v>0</v>
      </c>
      <c r="L4" s="15"/>
      <c r="M4" s="15"/>
      <c r="N4" s="15"/>
      <c r="O4" s="15"/>
      <c r="Q4" s="122">
        <v>38132</v>
      </c>
      <c r="R4" s="120">
        <v>0</v>
      </c>
      <c r="S4" s="120">
        <v>3.8638097219336487</v>
      </c>
      <c r="T4" s="149">
        <f>ROUND(R4,0)</f>
        <v>0</v>
      </c>
      <c r="U4" s="149">
        <f>ROUND(S4,0)</f>
        <v>4</v>
      </c>
    </row>
    <row r="5" spans="2:21" ht="20.25" customHeight="1">
      <c r="B5" s="34">
        <v>2</v>
      </c>
      <c r="C5" s="764">
        <f>'17 R1 INV'!J35/'17 R1 INV'!F35</f>
        <v>1.8752416286278208</v>
      </c>
      <c r="D5" s="807">
        <f t="shared" si="0"/>
        <v>571.94869673148537</v>
      </c>
      <c r="E5" s="807">
        <v>0</v>
      </c>
      <c r="F5" s="808">
        <f>E5*$F$36</f>
        <v>0</v>
      </c>
      <c r="G5" s="12"/>
      <c r="H5" s="733">
        <v>286</v>
      </c>
      <c r="I5" s="734">
        <v>0</v>
      </c>
      <c r="J5" s="732">
        <f>'17 R1 INV'!J35</f>
        <v>571.94869673148537</v>
      </c>
      <c r="K5" s="762">
        <v>0</v>
      </c>
      <c r="L5" s="16"/>
      <c r="M5" s="16"/>
      <c r="N5" s="16"/>
      <c r="O5" s="16"/>
      <c r="Q5" s="122">
        <v>38327.664104859141</v>
      </c>
      <c r="R5" s="120">
        <v>195.66410485914443</v>
      </c>
      <c r="S5" s="120">
        <v>285.95401151099077</v>
      </c>
      <c r="T5" s="149">
        <f t="shared" ref="T5:T33" si="1">ROUND(R5,0)</f>
        <v>196</v>
      </c>
      <c r="U5" s="149">
        <f t="shared" ref="U5:U33" si="2">ROUND(S5,0)</f>
        <v>286</v>
      </c>
    </row>
    <row r="6" spans="2:21" ht="20.25" customHeight="1">
      <c r="B6" s="35">
        <v>3</v>
      </c>
      <c r="C6" s="764">
        <f>'17 R1 INV'!K35/'17 R1 INV'!F35</f>
        <v>30.887878136493772</v>
      </c>
      <c r="D6" s="807">
        <f t="shared" si="0"/>
        <v>9420.8028316306008</v>
      </c>
      <c r="E6" s="807">
        <v>0</v>
      </c>
      <c r="F6" s="808">
        <f t="shared" ref="F6:F33" si="3">E6*$F$36</f>
        <v>0</v>
      </c>
      <c r="G6" s="10"/>
      <c r="H6" s="733">
        <v>330</v>
      </c>
      <c r="I6" s="734">
        <v>0</v>
      </c>
      <c r="J6" s="732">
        <f>'17 R1 INV'!K35</f>
        <v>9420.8028316306008</v>
      </c>
      <c r="K6" s="762">
        <v>0</v>
      </c>
      <c r="L6" s="16"/>
      <c r="M6" s="16"/>
      <c r="N6" s="16"/>
      <c r="O6" s="16"/>
      <c r="Q6" s="122">
        <v>38519.800339002082</v>
      </c>
      <c r="R6" s="120">
        <v>192.13623414294241</v>
      </c>
      <c r="S6" s="120">
        <v>330.36900700367505</v>
      </c>
      <c r="T6" s="149">
        <f t="shared" si="1"/>
        <v>192</v>
      </c>
      <c r="U6" s="149">
        <f t="shared" si="2"/>
        <v>330</v>
      </c>
    </row>
    <row r="7" spans="2:21" ht="20.25" customHeight="1">
      <c r="B7" s="25">
        <v>4</v>
      </c>
      <c r="C7" s="895">
        <v>0</v>
      </c>
      <c r="D7" s="896">
        <f t="shared" si="0"/>
        <v>0</v>
      </c>
      <c r="E7" s="897">
        <v>4</v>
      </c>
      <c r="F7" s="898">
        <f t="shared" si="3"/>
        <v>816</v>
      </c>
      <c r="G7" s="10"/>
      <c r="H7" s="733">
        <v>209</v>
      </c>
      <c r="I7" s="734">
        <v>4</v>
      </c>
      <c r="J7" s="736"/>
      <c r="K7" s="735"/>
      <c r="L7" s="16"/>
      <c r="M7" s="16"/>
      <c r="N7" s="16"/>
      <c r="O7" s="16"/>
      <c r="Q7" s="122">
        <v>38708.610635030127</v>
      </c>
      <c r="R7" s="120">
        <v>188.81029602804722</v>
      </c>
      <c r="S7" s="120">
        <v>209.22197663130237</v>
      </c>
      <c r="T7" s="149">
        <f t="shared" si="1"/>
        <v>189</v>
      </c>
      <c r="U7" s="149">
        <f t="shared" si="2"/>
        <v>209</v>
      </c>
    </row>
    <row r="8" spans="2:21" ht="20.25" customHeight="1">
      <c r="B8" s="25">
        <v>5</v>
      </c>
      <c r="C8" s="895">
        <v>0</v>
      </c>
      <c r="D8" s="896">
        <f t="shared" si="0"/>
        <v>0</v>
      </c>
      <c r="E8" s="897">
        <v>4</v>
      </c>
      <c r="F8" s="898">
        <f t="shared" si="3"/>
        <v>816</v>
      </c>
      <c r="G8" s="10"/>
      <c r="H8" s="733">
        <v>209</v>
      </c>
      <c r="I8" s="734">
        <v>4</v>
      </c>
      <c r="J8" s="736"/>
      <c r="K8" s="735"/>
      <c r="L8" s="16"/>
      <c r="M8" s="16"/>
      <c r="N8" s="16"/>
      <c r="O8" s="16"/>
      <c r="Q8" s="122">
        <v>39326.494275579178</v>
      </c>
      <c r="R8" s="120">
        <v>617.88364054905037</v>
      </c>
      <c r="S8" s="120">
        <v>209.47143922058058</v>
      </c>
      <c r="T8" s="149">
        <f t="shared" si="1"/>
        <v>618</v>
      </c>
      <c r="U8" s="149">
        <f t="shared" si="2"/>
        <v>209</v>
      </c>
    </row>
    <row r="9" spans="2:21" ht="20.25" customHeight="1">
      <c r="B9" s="25">
        <v>6</v>
      </c>
      <c r="C9" s="895">
        <v>0</v>
      </c>
      <c r="D9" s="896">
        <f t="shared" si="0"/>
        <v>0</v>
      </c>
      <c r="E9" s="897">
        <v>87</v>
      </c>
      <c r="F9" s="898">
        <f t="shared" si="3"/>
        <v>17748</v>
      </c>
      <c r="G9" s="1262"/>
      <c r="H9" s="733">
        <v>292</v>
      </c>
      <c r="I9" s="734">
        <v>87</v>
      </c>
      <c r="J9" s="736"/>
      <c r="K9" s="735"/>
      <c r="L9" s="16"/>
      <c r="M9" s="16"/>
      <c r="N9" s="16"/>
      <c r="O9" s="16"/>
      <c r="Q9" s="122">
        <v>41299.434528163794</v>
      </c>
      <c r="R9" s="120">
        <v>1972.9402525846133</v>
      </c>
      <c r="S9" s="120">
        <v>292.22177120171955</v>
      </c>
      <c r="T9" s="149">
        <f t="shared" si="1"/>
        <v>1973</v>
      </c>
      <c r="U9" s="149">
        <f t="shared" si="2"/>
        <v>292</v>
      </c>
    </row>
    <row r="10" spans="2:21" ht="20.25" customHeight="1">
      <c r="B10" s="25">
        <v>7</v>
      </c>
      <c r="C10" s="899">
        <v>3971</v>
      </c>
      <c r="D10" s="900">
        <f t="shared" si="0"/>
        <v>1211155</v>
      </c>
      <c r="E10" s="897">
        <v>418</v>
      </c>
      <c r="F10" s="898">
        <f t="shared" si="3"/>
        <v>85272</v>
      </c>
      <c r="G10" s="1262"/>
      <c r="H10" s="733">
        <v>293</v>
      </c>
      <c r="I10" s="734">
        <v>418</v>
      </c>
      <c r="J10" s="736"/>
      <c r="K10" s="735"/>
      <c r="L10" s="16"/>
      <c r="M10" s="16"/>
      <c r="N10" s="16"/>
      <c r="O10" s="16"/>
      <c r="Q10" s="122">
        <v>43165.584863437267</v>
      </c>
      <c r="R10" s="120">
        <v>1866.1503352734762</v>
      </c>
      <c r="S10" s="120">
        <v>292.53125910131121</v>
      </c>
      <c r="T10" s="149">
        <f t="shared" si="1"/>
        <v>1866</v>
      </c>
      <c r="U10" s="149">
        <f t="shared" si="2"/>
        <v>293</v>
      </c>
    </row>
    <row r="11" spans="2:21" ht="20.25" customHeight="1">
      <c r="B11" s="25">
        <v>8</v>
      </c>
      <c r="C11" s="899">
        <v>521</v>
      </c>
      <c r="D11" s="900">
        <f t="shared" si="0"/>
        <v>158905</v>
      </c>
      <c r="E11" s="897">
        <v>170</v>
      </c>
      <c r="F11" s="898">
        <f t="shared" si="3"/>
        <v>34680</v>
      </c>
      <c r="G11" s="1262"/>
      <c r="H11" s="737">
        <v>252</v>
      </c>
      <c r="I11" s="734">
        <v>170</v>
      </c>
      <c r="J11" s="738"/>
      <c r="K11" s="739"/>
      <c r="L11" s="540"/>
      <c r="M11" s="540"/>
      <c r="N11" s="540"/>
      <c r="O11" s="540"/>
      <c r="Q11" s="122">
        <v>45100.003971600563</v>
      </c>
      <c r="R11" s="120">
        <v>1934.4191081632962</v>
      </c>
      <c r="S11" s="120">
        <v>252.32617710283557</v>
      </c>
      <c r="T11" s="149">
        <f t="shared" si="1"/>
        <v>1934</v>
      </c>
      <c r="U11" s="149">
        <f t="shared" si="2"/>
        <v>252</v>
      </c>
    </row>
    <row r="12" spans="2:21" ht="20.25" customHeight="1">
      <c r="B12" s="25">
        <v>9</v>
      </c>
      <c r="C12" s="899">
        <v>142</v>
      </c>
      <c r="D12" s="900">
        <f t="shared" si="0"/>
        <v>43310</v>
      </c>
      <c r="E12" s="897">
        <v>129</v>
      </c>
      <c r="F12" s="898">
        <f t="shared" si="3"/>
        <v>26316</v>
      </c>
      <c r="G12" s="1262"/>
      <c r="H12" s="740">
        <v>6</v>
      </c>
      <c r="I12" s="734">
        <v>129</v>
      </c>
      <c r="J12" s="741"/>
      <c r="K12" s="742"/>
      <c r="L12" s="539"/>
      <c r="M12" s="539"/>
      <c r="N12" s="539"/>
      <c r="O12" s="539"/>
      <c r="Q12" s="122">
        <v>45168.272744490379</v>
      </c>
      <c r="R12" s="120">
        <v>68.268772889816319</v>
      </c>
      <c r="S12" s="120">
        <v>6.2335309617919847</v>
      </c>
      <c r="T12" s="149">
        <f t="shared" si="1"/>
        <v>68</v>
      </c>
      <c r="U12" s="149">
        <f t="shared" si="2"/>
        <v>6</v>
      </c>
    </row>
    <row r="13" spans="2:21" ht="20.25" customHeight="1">
      <c r="B13" s="25">
        <v>10</v>
      </c>
      <c r="C13" s="899">
        <v>1619</v>
      </c>
      <c r="D13" s="900">
        <f t="shared" si="0"/>
        <v>493795</v>
      </c>
      <c r="E13" s="897">
        <v>171</v>
      </c>
      <c r="F13" s="898">
        <f t="shared" si="3"/>
        <v>34884</v>
      </c>
      <c r="G13" s="1262"/>
      <c r="H13" s="743">
        <v>7</v>
      </c>
      <c r="I13" s="734">
        <v>171</v>
      </c>
      <c r="J13" s="744"/>
      <c r="K13" s="745"/>
      <c r="L13" s="10"/>
      <c r="M13" s="10"/>
      <c r="N13" s="10"/>
      <c r="O13" s="10"/>
      <c r="Q13" s="122">
        <v>45240.193521667075</v>
      </c>
      <c r="R13" s="120">
        <v>71.920777176695992</v>
      </c>
      <c r="S13" s="120">
        <v>6.5365612648220122</v>
      </c>
      <c r="T13" s="149">
        <f t="shared" si="1"/>
        <v>72</v>
      </c>
      <c r="U13" s="149">
        <f t="shared" si="2"/>
        <v>7</v>
      </c>
    </row>
    <row r="14" spans="2:21" ht="20.25" customHeight="1">
      <c r="B14" s="25">
        <v>11</v>
      </c>
      <c r="C14" s="899">
        <v>7334</v>
      </c>
      <c r="D14" s="900">
        <f t="shared" si="0"/>
        <v>2236870</v>
      </c>
      <c r="E14" s="897">
        <v>338</v>
      </c>
      <c r="F14" s="898">
        <f t="shared" si="3"/>
        <v>68952</v>
      </c>
      <c r="G14" s="1262"/>
      <c r="H14" s="743">
        <v>6</v>
      </c>
      <c r="I14" s="734">
        <v>338</v>
      </c>
      <c r="J14" s="744"/>
      <c r="K14" s="745"/>
      <c r="L14" s="10"/>
      <c r="M14" s="10"/>
      <c r="N14" s="10"/>
      <c r="O14" s="10"/>
      <c r="Q14" s="122">
        <v>45310.512049473924</v>
      </c>
      <c r="R14" s="120">
        <v>70.318527806848579</v>
      </c>
      <c r="S14" s="120">
        <v>6.4340198321888238</v>
      </c>
      <c r="T14" s="149">
        <f t="shared" si="1"/>
        <v>70</v>
      </c>
      <c r="U14" s="149">
        <f t="shared" si="2"/>
        <v>6</v>
      </c>
    </row>
    <row r="15" spans="2:21" ht="20.25" customHeight="1">
      <c r="B15" s="25">
        <v>12</v>
      </c>
      <c r="C15" s="899">
        <v>5253</v>
      </c>
      <c r="D15" s="900">
        <f t="shared" si="0"/>
        <v>1602165</v>
      </c>
      <c r="E15" s="897">
        <v>509</v>
      </c>
      <c r="F15" s="898">
        <f t="shared" si="3"/>
        <v>103836</v>
      </c>
      <c r="G15" s="12"/>
      <c r="H15" s="746">
        <v>6</v>
      </c>
      <c r="I15" s="734">
        <v>509</v>
      </c>
      <c r="J15" s="744"/>
      <c r="K15" s="745"/>
      <c r="L15" s="10"/>
      <c r="M15" s="10"/>
      <c r="N15" s="10"/>
      <c r="O15" s="10"/>
      <c r="Q15" s="122">
        <v>45375.128197235383</v>
      </c>
      <c r="R15" s="120">
        <v>64.616147761458706</v>
      </c>
      <c r="S15" s="120">
        <v>5.9305006587619573</v>
      </c>
      <c r="T15" s="149">
        <f t="shared" si="1"/>
        <v>65</v>
      </c>
      <c r="U15" s="149">
        <f t="shared" si="2"/>
        <v>6</v>
      </c>
    </row>
    <row r="16" spans="2:21" ht="20.25" customHeight="1">
      <c r="B16" s="25">
        <v>13</v>
      </c>
      <c r="C16" s="765">
        <v>65</v>
      </c>
      <c r="D16" s="802">
        <f t="shared" si="0"/>
        <v>19825</v>
      </c>
      <c r="E16" s="763">
        <v>6</v>
      </c>
      <c r="F16" s="804">
        <f t="shared" si="3"/>
        <v>1224</v>
      </c>
      <c r="G16" s="12"/>
      <c r="H16" s="743">
        <v>6</v>
      </c>
      <c r="I16" s="747">
        <v>6</v>
      </c>
      <c r="J16" s="744"/>
      <c r="K16" s="745"/>
      <c r="L16" s="10"/>
      <c r="M16" s="10"/>
      <c r="N16" s="10"/>
      <c r="O16" s="10"/>
      <c r="Q16" s="122">
        <v>45439.744344996827</v>
      </c>
      <c r="R16" s="120">
        <v>64.616147761444154</v>
      </c>
      <c r="S16" s="120">
        <v>5.9305006587610478</v>
      </c>
      <c r="T16" s="149">
        <f t="shared" si="1"/>
        <v>65</v>
      </c>
      <c r="U16" s="149">
        <f t="shared" si="2"/>
        <v>6</v>
      </c>
    </row>
    <row r="17" spans="2:21" ht="20.25" customHeight="1">
      <c r="B17" s="25">
        <v>14</v>
      </c>
      <c r="C17" s="765">
        <v>65</v>
      </c>
      <c r="D17" s="802">
        <f t="shared" si="0"/>
        <v>19825</v>
      </c>
      <c r="E17" s="763">
        <v>6</v>
      </c>
      <c r="F17" s="804">
        <f t="shared" si="3"/>
        <v>1224</v>
      </c>
      <c r="G17" s="1262"/>
      <c r="H17" s="743">
        <v>6</v>
      </c>
      <c r="I17" s="747">
        <v>6</v>
      </c>
      <c r="J17" s="744"/>
      <c r="K17" s="745"/>
      <c r="L17" s="10"/>
      <c r="M17" s="10"/>
      <c r="N17" s="10"/>
      <c r="O17" s="10"/>
      <c r="Q17" s="122">
        <v>45504.360492758271</v>
      </c>
      <c r="R17" s="120">
        <v>64.616147761444154</v>
      </c>
      <c r="S17" s="120">
        <v>5.9305006587619573</v>
      </c>
      <c r="T17" s="149">
        <f t="shared" si="1"/>
        <v>65</v>
      </c>
      <c r="U17" s="149">
        <f t="shared" si="2"/>
        <v>6</v>
      </c>
    </row>
    <row r="18" spans="2:21" ht="20.25" customHeight="1">
      <c r="B18" s="25">
        <v>15</v>
      </c>
      <c r="C18" s="765">
        <v>65</v>
      </c>
      <c r="D18" s="802">
        <f t="shared" si="0"/>
        <v>19825</v>
      </c>
      <c r="E18" s="763">
        <v>6</v>
      </c>
      <c r="F18" s="804">
        <f t="shared" si="3"/>
        <v>1224</v>
      </c>
      <c r="G18" s="1262"/>
      <c r="H18" s="743">
        <v>6</v>
      </c>
      <c r="I18" s="747">
        <v>6</v>
      </c>
      <c r="J18" s="744"/>
      <c r="K18" s="745"/>
      <c r="L18" s="10"/>
      <c r="M18" s="10"/>
      <c r="N18" s="10"/>
      <c r="O18" s="10"/>
      <c r="Q18" s="122">
        <v>45568.976640519715</v>
      </c>
      <c r="R18" s="120">
        <v>64.616147761444154</v>
      </c>
      <c r="S18" s="120">
        <v>5.9305006587619573</v>
      </c>
      <c r="T18" s="149">
        <f t="shared" si="1"/>
        <v>65</v>
      </c>
      <c r="U18" s="149">
        <f t="shared" si="2"/>
        <v>6</v>
      </c>
    </row>
    <row r="19" spans="2:21" ht="20.25" customHeight="1">
      <c r="B19" s="25">
        <v>16</v>
      </c>
      <c r="C19" s="765">
        <v>53</v>
      </c>
      <c r="D19" s="802">
        <f t="shared" si="0"/>
        <v>16165</v>
      </c>
      <c r="E19" s="763">
        <v>5</v>
      </c>
      <c r="F19" s="804">
        <f t="shared" si="3"/>
        <v>1020</v>
      </c>
      <c r="G19" s="1262"/>
      <c r="H19" s="743">
        <v>5</v>
      </c>
      <c r="I19" s="747">
        <v>5</v>
      </c>
      <c r="J19" s="744"/>
      <c r="K19" s="745"/>
      <c r="L19" s="10"/>
      <c r="M19" s="10"/>
      <c r="N19" s="10"/>
      <c r="O19" s="10"/>
      <c r="Q19" s="122">
        <v>45622.444048532969</v>
      </c>
      <c r="R19" s="120">
        <v>53.467408013253589</v>
      </c>
      <c r="S19" s="120">
        <v>4.7321614312459133</v>
      </c>
      <c r="T19" s="149">
        <f t="shared" si="1"/>
        <v>53</v>
      </c>
      <c r="U19" s="149">
        <f t="shared" si="2"/>
        <v>5</v>
      </c>
    </row>
    <row r="20" spans="2:21" ht="20.25" customHeight="1">
      <c r="B20" s="25">
        <v>17</v>
      </c>
      <c r="C20" s="765">
        <v>53</v>
      </c>
      <c r="D20" s="802">
        <f t="shared" si="0"/>
        <v>16165</v>
      </c>
      <c r="E20" s="763">
        <v>5</v>
      </c>
      <c r="F20" s="804">
        <f t="shared" si="3"/>
        <v>1020</v>
      </c>
      <c r="G20" s="1262"/>
      <c r="H20" s="743">
        <v>5</v>
      </c>
      <c r="I20" s="747">
        <v>5</v>
      </c>
      <c r="J20" s="744"/>
      <c r="K20" s="745"/>
      <c r="L20" s="10"/>
      <c r="M20" s="10"/>
      <c r="N20" s="10"/>
      <c r="O20" s="10"/>
      <c r="Q20" s="122">
        <v>45675.203334655584</v>
      </c>
      <c r="R20" s="120">
        <v>52.759286122614867</v>
      </c>
      <c r="S20" s="120">
        <v>4.8255148741418452</v>
      </c>
      <c r="T20" s="149">
        <f t="shared" si="1"/>
        <v>53</v>
      </c>
      <c r="U20" s="149">
        <f t="shared" si="2"/>
        <v>5</v>
      </c>
    </row>
    <row r="21" spans="2:21" ht="20.25" customHeight="1">
      <c r="B21" s="25">
        <v>18</v>
      </c>
      <c r="C21" s="765">
        <v>53</v>
      </c>
      <c r="D21" s="802">
        <f t="shared" si="0"/>
        <v>16165</v>
      </c>
      <c r="E21" s="763">
        <v>5</v>
      </c>
      <c r="F21" s="804">
        <f t="shared" si="3"/>
        <v>1020</v>
      </c>
      <c r="G21" s="1262"/>
      <c r="H21" s="743">
        <v>5</v>
      </c>
      <c r="I21" s="747">
        <v>5</v>
      </c>
      <c r="J21" s="744"/>
      <c r="K21" s="745"/>
      <c r="L21" s="10"/>
      <c r="M21" s="10"/>
      <c r="N21" s="10"/>
      <c r="O21" s="10"/>
      <c r="Q21" s="122">
        <v>45727.962620778198</v>
      </c>
      <c r="R21" s="120">
        <v>52.759286122614867</v>
      </c>
      <c r="S21" s="120">
        <v>4.8255148741418452</v>
      </c>
      <c r="T21" s="149">
        <f t="shared" si="1"/>
        <v>53</v>
      </c>
      <c r="U21" s="149">
        <f t="shared" si="2"/>
        <v>5</v>
      </c>
    </row>
    <row r="22" spans="2:21" s="3" customFormat="1" ht="20.25" customHeight="1">
      <c r="B22" s="25">
        <v>19</v>
      </c>
      <c r="C22" s="765">
        <v>53</v>
      </c>
      <c r="D22" s="802">
        <f t="shared" si="0"/>
        <v>16165</v>
      </c>
      <c r="E22" s="763">
        <v>5</v>
      </c>
      <c r="F22" s="804">
        <f t="shared" si="3"/>
        <v>1020</v>
      </c>
      <c r="G22" s="12"/>
      <c r="H22" s="743">
        <v>5</v>
      </c>
      <c r="I22" s="747">
        <v>5</v>
      </c>
      <c r="J22" s="744"/>
      <c r="K22" s="745"/>
      <c r="L22" s="10"/>
      <c r="M22" s="10"/>
      <c r="N22" s="10"/>
      <c r="O22" s="10"/>
      <c r="Q22" s="122">
        <v>45780.721906900813</v>
      </c>
      <c r="R22" s="120">
        <v>52.759286122614867</v>
      </c>
      <c r="S22" s="120">
        <v>4.8255148741418452</v>
      </c>
      <c r="T22" s="149">
        <f t="shared" si="1"/>
        <v>53</v>
      </c>
      <c r="U22" s="149">
        <f t="shared" si="2"/>
        <v>5</v>
      </c>
    </row>
    <row r="23" spans="2:21" ht="20.25" customHeight="1">
      <c r="B23" s="25">
        <v>20</v>
      </c>
      <c r="C23" s="765">
        <v>53</v>
      </c>
      <c r="D23" s="802">
        <f t="shared" si="0"/>
        <v>16165</v>
      </c>
      <c r="E23" s="763">
        <v>5</v>
      </c>
      <c r="F23" s="804">
        <f t="shared" si="3"/>
        <v>1020</v>
      </c>
      <c r="G23" s="12"/>
      <c r="H23" s="743">
        <v>5</v>
      </c>
      <c r="I23" s="747">
        <v>5</v>
      </c>
      <c r="J23" s="744"/>
      <c r="K23" s="745"/>
      <c r="L23" s="10"/>
      <c r="M23" s="10"/>
      <c r="N23" s="10"/>
      <c r="O23" s="10"/>
      <c r="Q23" s="122">
        <v>45833.481193023428</v>
      </c>
      <c r="R23" s="120">
        <v>52.759286122614867</v>
      </c>
      <c r="S23" s="120">
        <v>4.8255148741418452</v>
      </c>
      <c r="T23" s="149">
        <f t="shared" si="1"/>
        <v>53</v>
      </c>
      <c r="U23" s="149">
        <f t="shared" si="2"/>
        <v>5</v>
      </c>
    </row>
    <row r="24" spans="2:21" ht="20.25" customHeight="1">
      <c r="B24" s="25">
        <v>21</v>
      </c>
      <c r="C24" s="765">
        <v>66</v>
      </c>
      <c r="D24" s="802">
        <f t="shared" si="0"/>
        <v>20130</v>
      </c>
      <c r="E24" s="763">
        <v>6</v>
      </c>
      <c r="F24" s="804">
        <f t="shared" si="3"/>
        <v>1224</v>
      </c>
      <c r="G24" s="12"/>
      <c r="H24" s="743">
        <v>6</v>
      </c>
      <c r="I24" s="747">
        <v>6</v>
      </c>
      <c r="J24" s="744"/>
      <c r="K24" s="745"/>
      <c r="L24" s="10"/>
      <c r="M24" s="10"/>
      <c r="N24" s="10"/>
      <c r="O24" s="10"/>
      <c r="Q24" s="122">
        <v>45899.252663806234</v>
      </c>
      <c r="R24" s="120">
        <v>65.771470782805409</v>
      </c>
      <c r="S24" s="120">
        <v>5.935094653629676</v>
      </c>
      <c r="T24" s="149">
        <f t="shared" si="1"/>
        <v>66</v>
      </c>
      <c r="U24" s="149">
        <f t="shared" si="2"/>
        <v>6</v>
      </c>
    </row>
    <row r="25" spans="2:21" ht="20.25" customHeight="1">
      <c r="B25" s="25">
        <v>22</v>
      </c>
      <c r="C25" s="765">
        <v>45</v>
      </c>
      <c r="D25" s="802">
        <f t="shared" si="0"/>
        <v>13725</v>
      </c>
      <c r="E25" s="763">
        <v>4</v>
      </c>
      <c r="F25" s="804">
        <f t="shared" si="3"/>
        <v>816</v>
      </c>
      <c r="G25" s="1262"/>
      <c r="H25" s="748">
        <v>4</v>
      </c>
      <c r="I25" s="747">
        <v>4</v>
      </c>
      <c r="J25" s="749"/>
      <c r="K25" s="750"/>
      <c r="L25" s="13"/>
      <c r="M25" s="13"/>
      <c r="N25" s="13"/>
      <c r="O25" s="13"/>
      <c r="Q25" s="122">
        <v>45944.253159166648</v>
      </c>
      <c r="R25" s="120">
        <v>45.000495360414789</v>
      </c>
      <c r="S25" s="120">
        <v>4.1215068303172302</v>
      </c>
      <c r="T25" s="149">
        <f t="shared" si="1"/>
        <v>45</v>
      </c>
      <c r="U25" s="149">
        <f t="shared" si="2"/>
        <v>4</v>
      </c>
    </row>
    <row r="26" spans="2:21" s="3" customFormat="1" ht="20.25" customHeight="1">
      <c r="B26" s="25">
        <v>23</v>
      </c>
      <c r="C26" s="765">
        <v>45</v>
      </c>
      <c r="D26" s="802">
        <f t="shared" si="0"/>
        <v>13725</v>
      </c>
      <c r="E26" s="763">
        <v>4</v>
      </c>
      <c r="F26" s="804">
        <f t="shared" si="3"/>
        <v>816</v>
      </c>
      <c r="G26" s="1262"/>
      <c r="H26" s="748">
        <v>4</v>
      </c>
      <c r="I26" s="747">
        <v>4</v>
      </c>
      <c r="J26" s="749"/>
      <c r="K26" s="750"/>
      <c r="L26" s="13"/>
      <c r="M26" s="13"/>
      <c r="N26" s="13"/>
      <c r="O26" s="13"/>
      <c r="Q26" s="122">
        <v>45989.253654527085</v>
      </c>
      <c r="R26" s="120">
        <v>45.000495360436616</v>
      </c>
      <c r="S26" s="120">
        <v>4.1215068303172302</v>
      </c>
      <c r="T26" s="149">
        <f t="shared" si="1"/>
        <v>45</v>
      </c>
      <c r="U26" s="149">
        <f t="shared" si="2"/>
        <v>4</v>
      </c>
    </row>
    <row r="27" spans="2:21" s="3" customFormat="1" ht="20.25" customHeight="1">
      <c r="B27" s="25">
        <v>24</v>
      </c>
      <c r="C27" s="765">
        <v>45</v>
      </c>
      <c r="D27" s="802">
        <f t="shared" si="0"/>
        <v>13725</v>
      </c>
      <c r="E27" s="763">
        <v>4</v>
      </c>
      <c r="F27" s="804">
        <f t="shared" si="3"/>
        <v>816</v>
      </c>
      <c r="G27" s="1262"/>
      <c r="H27" s="748">
        <v>4</v>
      </c>
      <c r="I27" s="747">
        <v>4</v>
      </c>
      <c r="J27" s="749"/>
      <c r="K27" s="750"/>
      <c r="L27" s="13"/>
      <c r="M27" s="13"/>
      <c r="N27" s="13"/>
      <c r="O27" s="13"/>
      <c r="Q27" s="122">
        <v>46034.2541498875</v>
      </c>
      <c r="R27" s="120">
        <v>45.000495360414789</v>
      </c>
      <c r="S27" s="120">
        <v>4.1215068303172302</v>
      </c>
      <c r="T27" s="149">
        <f t="shared" si="1"/>
        <v>45</v>
      </c>
      <c r="U27" s="149">
        <f t="shared" si="2"/>
        <v>4</v>
      </c>
    </row>
    <row r="28" spans="2:21" ht="20.25" customHeight="1">
      <c r="B28" s="25">
        <v>25</v>
      </c>
      <c r="C28" s="765">
        <v>45</v>
      </c>
      <c r="D28" s="802">
        <f t="shared" si="0"/>
        <v>13725</v>
      </c>
      <c r="E28" s="763">
        <v>4</v>
      </c>
      <c r="F28" s="804">
        <f t="shared" si="3"/>
        <v>816</v>
      </c>
      <c r="G28" s="1262"/>
      <c r="H28" s="748">
        <v>4</v>
      </c>
      <c r="I28" s="747">
        <v>4</v>
      </c>
      <c r="J28" s="749"/>
      <c r="K28" s="750"/>
      <c r="L28" s="13"/>
      <c r="M28" s="13"/>
      <c r="N28" s="13"/>
      <c r="O28" s="13"/>
      <c r="Q28" s="122">
        <v>46079.254645247915</v>
      </c>
      <c r="R28" s="120">
        <v>45.000495360414789</v>
      </c>
      <c r="S28" s="120">
        <v>4.1215068303163207</v>
      </c>
      <c r="T28" s="149">
        <f t="shared" si="1"/>
        <v>45</v>
      </c>
      <c r="U28" s="149">
        <f t="shared" si="2"/>
        <v>4</v>
      </c>
    </row>
    <row r="29" spans="2:21" ht="20.25" customHeight="1">
      <c r="B29" s="25">
        <v>26</v>
      </c>
      <c r="C29" s="765">
        <v>66</v>
      </c>
      <c r="D29" s="802">
        <f t="shared" si="0"/>
        <v>20130</v>
      </c>
      <c r="E29" s="763">
        <v>6</v>
      </c>
      <c r="F29" s="804">
        <f t="shared" si="3"/>
        <v>1224</v>
      </c>
      <c r="G29" s="1262"/>
      <c r="H29" s="748">
        <v>6</v>
      </c>
      <c r="I29" s="747">
        <v>6</v>
      </c>
      <c r="J29" s="749"/>
      <c r="K29" s="750"/>
      <c r="L29" s="13"/>
      <c r="M29" s="13"/>
      <c r="N29" s="13"/>
      <c r="O29" s="13"/>
      <c r="Q29" s="122">
        <v>46145.026232413162</v>
      </c>
      <c r="R29" s="120">
        <v>65.771587165247183</v>
      </c>
      <c r="S29" s="120">
        <v>5.9350946536305855</v>
      </c>
      <c r="T29" s="149">
        <f t="shared" si="1"/>
        <v>66</v>
      </c>
      <c r="U29" s="149">
        <f t="shared" si="2"/>
        <v>6</v>
      </c>
    </row>
    <row r="30" spans="2:21" ht="20.25" customHeight="1">
      <c r="B30" s="25">
        <v>27</v>
      </c>
      <c r="C30" s="765">
        <v>47</v>
      </c>
      <c r="D30" s="802">
        <f t="shared" si="0"/>
        <v>14335</v>
      </c>
      <c r="E30" s="763">
        <v>4</v>
      </c>
      <c r="F30" s="804">
        <f t="shared" si="3"/>
        <v>816</v>
      </c>
      <c r="G30" s="1262"/>
      <c r="H30" s="748">
        <v>4</v>
      </c>
      <c r="I30" s="747">
        <v>4</v>
      </c>
      <c r="J30" s="749"/>
      <c r="K30" s="750"/>
      <c r="L30" s="13"/>
      <c r="M30" s="13"/>
      <c r="N30" s="13"/>
      <c r="O30" s="13"/>
      <c r="Q30" s="122">
        <v>46192.078605045601</v>
      </c>
      <c r="R30" s="120">
        <v>47.052372632439074</v>
      </c>
      <c r="S30" s="120">
        <v>4.3219957007140692</v>
      </c>
      <c r="T30" s="149">
        <f t="shared" si="1"/>
        <v>47</v>
      </c>
      <c r="U30" s="149">
        <f t="shared" si="2"/>
        <v>4</v>
      </c>
    </row>
    <row r="31" spans="2:21" ht="20.25" customHeight="1">
      <c r="B31" s="25">
        <v>28</v>
      </c>
      <c r="C31" s="765">
        <v>49</v>
      </c>
      <c r="D31" s="802">
        <f t="shared" si="0"/>
        <v>14945</v>
      </c>
      <c r="E31" s="763">
        <v>4</v>
      </c>
      <c r="F31" s="804">
        <f t="shared" si="3"/>
        <v>816</v>
      </c>
      <c r="G31" s="1262"/>
      <c r="H31" s="748">
        <v>4</v>
      </c>
      <c r="I31" s="747">
        <v>4</v>
      </c>
      <c r="J31" s="749"/>
      <c r="K31" s="750"/>
      <c r="L31" s="13"/>
      <c r="M31" s="13"/>
      <c r="N31" s="13"/>
      <c r="O31" s="13"/>
      <c r="Q31" s="122">
        <v>46240.734906004662</v>
      </c>
      <c r="R31" s="120">
        <v>48.6563009590609</v>
      </c>
      <c r="S31" s="120">
        <v>4.4245371333472576</v>
      </c>
      <c r="T31" s="149">
        <f t="shared" si="1"/>
        <v>49</v>
      </c>
      <c r="U31" s="149">
        <f t="shared" si="2"/>
        <v>4</v>
      </c>
    </row>
    <row r="32" spans="2:21" ht="20.25" customHeight="1">
      <c r="B32" s="25">
        <v>29</v>
      </c>
      <c r="C32" s="765">
        <v>51</v>
      </c>
      <c r="D32" s="802">
        <f t="shared" si="0"/>
        <v>15555</v>
      </c>
      <c r="E32" s="763">
        <v>5</v>
      </c>
      <c r="F32" s="804">
        <f t="shared" si="3"/>
        <v>1020</v>
      </c>
      <c r="G32" s="1262"/>
      <c r="H32" s="748">
        <v>5</v>
      </c>
      <c r="I32" s="747">
        <v>5</v>
      </c>
      <c r="J32" s="749"/>
      <c r="K32" s="750"/>
      <c r="L32" s="13"/>
      <c r="M32" s="13"/>
      <c r="N32" s="13"/>
      <c r="O32" s="13"/>
      <c r="Q32" s="122">
        <v>46291.442792512105</v>
      </c>
      <c r="R32" s="120">
        <v>50.707886507443618</v>
      </c>
      <c r="S32" s="120">
        <v>4.6250260037450062</v>
      </c>
      <c r="T32" s="149">
        <f t="shared" si="1"/>
        <v>51</v>
      </c>
      <c r="U32" s="149">
        <f t="shared" si="2"/>
        <v>5</v>
      </c>
    </row>
    <row r="33" spans="2:21" ht="20.25" customHeight="1" thickBot="1">
      <c r="B33" s="26">
        <v>30</v>
      </c>
      <c r="C33" s="766">
        <v>27</v>
      </c>
      <c r="D33" s="803">
        <f t="shared" si="0"/>
        <v>8235</v>
      </c>
      <c r="E33" s="901">
        <v>41</v>
      </c>
      <c r="F33" s="902">
        <f t="shared" si="3"/>
        <v>8364</v>
      </c>
      <c r="G33" s="1262"/>
      <c r="H33" s="751">
        <v>3</v>
      </c>
      <c r="I33" s="752">
        <v>41</v>
      </c>
      <c r="J33" s="753"/>
      <c r="K33" s="754"/>
      <c r="L33" s="13"/>
      <c r="M33" s="13"/>
      <c r="N33" s="13"/>
      <c r="O33" s="13"/>
      <c r="Q33" s="124">
        <v>46318.864284598305</v>
      </c>
      <c r="R33" s="123">
        <v>27.421492086199578</v>
      </c>
      <c r="S33" s="123">
        <v>2.5130018722693421</v>
      </c>
      <c r="T33" s="149">
        <f t="shared" si="1"/>
        <v>27</v>
      </c>
      <c r="U33" s="149">
        <f t="shared" si="2"/>
        <v>3</v>
      </c>
    </row>
    <row r="34" spans="2:21" ht="20.25" customHeight="1">
      <c r="B34" s="599"/>
      <c r="C34" s="130"/>
      <c r="D34" s="127"/>
      <c r="E34" s="130"/>
      <c r="F34" s="127"/>
      <c r="G34" s="23"/>
      <c r="H34" s="13"/>
      <c r="I34" s="13"/>
      <c r="J34" s="13"/>
      <c r="K34" s="13"/>
      <c r="L34" s="13"/>
      <c r="M34" s="13"/>
      <c r="N34" s="13"/>
      <c r="O34" s="13"/>
      <c r="Q34" s="600"/>
      <c r="R34" s="600"/>
      <c r="S34" s="600"/>
      <c r="T34" s="149"/>
      <c r="U34" s="149"/>
    </row>
    <row r="35" spans="2:21">
      <c r="C35" s="806">
        <f>SUM(C4:C33)</f>
        <v>19942.956974156499</v>
      </c>
      <c r="D35" s="805">
        <f>SUM(D4:D33)</f>
        <v>6082601.8771177325</v>
      </c>
      <c r="E35" s="806">
        <f>SUM(E4:E33)</f>
        <v>1955</v>
      </c>
      <c r="F35" s="805">
        <f>SUM(F4:F33)</f>
        <v>398820</v>
      </c>
      <c r="G35" s="23"/>
      <c r="H35" s="15">
        <f>SUM(H4:H33)</f>
        <v>1987</v>
      </c>
      <c r="I35" s="601">
        <f>SUM(I4:I34)</f>
        <v>1955</v>
      </c>
      <c r="J35" s="13"/>
      <c r="K35" s="13"/>
      <c r="L35" s="13"/>
      <c r="M35" s="13"/>
      <c r="N35" s="13"/>
      <c r="O35" s="13"/>
    </row>
    <row r="36" spans="2:21" ht="26.25" customHeight="1">
      <c r="D36" s="131">
        <v>305</v>
      </c>
      <c r="E36" s="6">
        <v>1987</v>
      </c>
      <c r="F36" s="131">
        <v>204</v>
      </c>
      <c r="G36" s="23"/>
      <c r="H36" s="13"/>
      <c r="I36" s="13"/>
      <c r="J36" s="13"/>
      <c r="K36" s="13"/>
      <c r="L36" s="13"/>
      <c r="M36" s="13"/>
      <c r="N36" s="13"/>
      <c r="O36" s="13"/>
    </row>
    <row r="37" spans="2:21">
      <c r="D37" s="572">
        <f>D35/D36</f>
        <v>19942.956974156499</v>
      </c>
      <c r="G37" s="13"/>
      <c r="H37" s="13"/>
      <c r="I37" s="13"/>
      <c r="J37" s="13"/>
      <c r="K37" s="13"/>
      <c r="L37" s="13"/>
      <c r="M37" s="13"/>
      <c r="N37" s="13"/>
      <c r="O37" s="13"/>
    </row>
    <row r="38" spans="2:21">
      <c r="H38" s="13"/>
      <c r="I38" s="13"/>
      <c r="J38" s="13"/>
      <c r="K38" s="13"/>
      <c r="L38" s="13"/>
      <c r="M38" s="13"/>
      <c r="N38" s="13"/>
      <c r="O38" s="13"/>
    </row>
    <row r="39" spans="2:21">
      <c r="H39" s="13"/>
      <c r="I39" s="13"/>
      <c r="J39" s="13"/>
      <c r="K39" s="13"/>
      <c r="L39" s="13"/>
      <c r="M39" s="13"/>
      <c r="N39" s="13"/>
      <c r="O39" s="13"/>
    </row>
  </sheetData>
  <mergeCells count="16">
    <mergeCell ref="Q2:Q3"/>
    <mergeCell ref="R2:R3"/>
    <mergeCell ref="S2:S3"/>
    <mergeCell ref="B2:B3"/>
    <mergeCell ref="C2:C3"/>
    <mergeCell ref="D2:D3"/>
    <mergeCell ref="E2:E3"/>
    <mergeCell ref="F2:F3"/>
    <mergeCell ref="G9:G10"/>
    <mergeCell ref="G31:G33"/>
    <mergeCell ref="G11:G12"/>
    <mergeCell ref="G13:G14"/>
    <mergeCell ref="G17:G19"/>
    <mergeCell ref="G20:G21"/>
    <mergeCell ref="G25:G26"/>
    <mergeCell ref="G27:G30"/>
  </mergeCells>
  <printOptions horizontalCentered="1"/>
  <pageMargins left="0.98425196850393704" right="0.59055118110236227" top="1.9685039370078741" bottom="1.0629921259842521" header="0.39370078740157483" footer="0.39370078740157483"/>
  <pageSetup paperSize="9" scale="82" orientation="portrait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40">
    <tabColor rgb="FF00B050"/>
  </sheetPr>
  <dimension ref="B1:S35"/>
  <sheetViews>
    <sheetView workbookViewId="0">
      <selection activeCell="B20" sqref="B20"/>
    </sheetView>
  </sheetViews>
  <sheetFormatPr defaultColWidth="11.5703125" defaultRowHeight="14.25"/>
  <cols>
    <col min="1" max="1" width="7" style="41" customWidth="1"/>
    <col min="2" max="2" width="9" style="41" customWidth="1"/>
    <col min="3" max="10" width="17" style="41" customWidth="1"/>
    <col min="11" max="12" width="11.5703125" style="41"/>
    <col min="13" max="18" width="16.140625" style="41" hidden="1" customWidth="1"/>
    <col min="19" max="19" width="15" style="41" hidden="1" customWidth="1"/>
    <col min="20" max="16384" width="11.5703125" style="41"/>
  </cols>
  <sheetData>
    <row r="1" spans="2:19" ht="15.75" thickBot="1">
      <c r="B1" s="1208" t="s">
        <v>48</v>
      </c>
      <c r="C1" s="1208"/>
      <c r="D1" s="1208"/>
      <c r="E1" s="1208"/>
      <c r="F1" s="1208"/>
      <c r="G1" s="1208"/>
      <c r="H1" s="1208"/>
      <c r="I1" s="1208"/>
      <c r="J1" s="1208"/>
    </row>
    <row r="2" spans="2:19">
      <c r="B2" s="1266" t="s">
        <v>1</v>
      </c>
      <c r="C2" s="1228" t="s">
        <v>2</v>
      </c>
      <c r="D2" s="1232" t="s">
        <v>19</v>
      </c>
      <c r="E2" s="1228" t="s">
        <v>20</v>
      </c>
      <c r="F2" s="1268" t="s">
        <v>16</v>
      </c>
      <c r="G2" s="1228" t="s">
        <v>31</v>
      </c>
      <c r="H2" s="1232" t="s">
        <v>21</v>
      </c>
      <c r="I2" s="1228" t="s">
        <v>3</v>
      </c>
      <c r="J2" s="1230" t="s">
        <v>32</v>
      </c>
      <c r="M2" s="1270">
        <v>0.88</v>
      </c>
      <c r="N2" s="1265" t="s">
        <v>85</v>
      </c>
      <c r="O2" s="1265"/>
      <c r="P2" s="1265" t="s">
        <v>86</v>
      </c>
      <c r="Q2" s="1265"/>
      <c r="R2" s="1265"/>
    </row>
    <row r="3" spans="2:19" s="89" customFormat="1" ht="15.75" thickBot="1">
      <c r="B3" s="1267"/>
      <c r="C3" s="1229"/>
      <c r="D3" s="1233"/>
      <c r="E3" s="1229"/>
      <c r="F3" s="1269"/>
      <c r="G3" s="1229"/>
      <c r="H3" s="1233"/>
      <c r="I3" s="1229"/>
      <c r="J3" s="1231"/>
      <c r="K3" s="132"/>
      <c r="L3" s="132"/>
      <c r="M3" s="1270"/>
      <c r="N3" s="1265"/>
      <c r="O3" s="1265"/>
      <c r="P3" s="1265"/>
      <c r="Q3" s="1265"/>
      <c r="R3" s="1265"/>
    </row>
    <row r="4" spans="2:19" ht="15">
      <c r="B4" s="415">
        <v>1</v>
      </c>
      <c r="C4" s="999">
        <v>11</v>
      </c>
      <c r="D4" s="1000">
        <f>O4*$M$2</f>
        <v>40939.142400000004</v>
      </c>
      <c r="E4" s="1000">
        <f>D4*C4</f>
        <v>450330.56640000007</v>
      </c>
      <c r="F4" s="999">
        <v>6</v>
      </c>
      <c r="G4" s="447">
        <f>Q4*$M$2</f>
        <v>37153.248</v>
      </c>
      <c r="H4" s="1001">
        <f>G4*F4</f>
        <v>222919.48800000001</v>
      </c>
      <c r="I4" s="999">
        <f>C4+F4</f>
        <v>17</v>
      </c>
      <c r="J4" s="1002">
        <f>E4+H4</f>
        <v>673250.05440000002</v>
      </c>
      <c r="K4" s="109"/>
      <c r="L4" s="109"/>
      <c r="M4" s="133"/>
      <c r="N4" s="108">
        <v>511739.28</v>
      </c>
      <c r="O4" s="133">
        <f>N4/C4</f>
        <v>46521.752727272731</v>
      </c>
      <c r="P4" s="133">
        <v>253317.6</v>
      </c>
      <c r="Q4" s="108">
        <f>P4/F4</f>
        <v>42219.6</v>
      </c>
      <c r="R4" s="133">
        <f>SUM(N4:P4)</f>
        <v>811578.63272727269</v>
      </c>
      <c r="S4" s="135"/>
    </row>
    <row r="5" spans="2:19" ht="15">
      <c r="B5" s="416">
        <v>2</v>
      </c>
      <c r="C5" s="108">
        <v>11</v>
      </c>
      <c r="D5" s="107">
        <f t="shared" ref="D5:D33" si="0">O5*$M$2</f>
        <v>40939.142400000004</v>
      </c>
      <c r="E5" s="107">
        <f t="shared" ref="E5:E32" si="1">D5*C5</f>
        <v>450330.56640000007</v>
      </c>
      <c r="F5" s="108">
        <v>6</v>
      </c>
      <c r="G5" s="448">
        <f t="shared" ref="G5:G33" si="2">Q5*$M$2</f>
        <v>37153.248</v>
      </c>
      <c r="H5" s="133">
        <f t="shared" ref="H5:H33" si="3">G5*F5</f>
        <v>222919.48800000001</v>
      </c>
      <c r="I5" s="108">
        <f t="shared" ref="I5:I33" si="4">C5+F5</f>
        <v>17</v>
      </c>
      <c r="J5" s="1003">
        <f t="shared" ref="J5:J33" si="5">E5+H5</f>
        <v>673250.05440000002</v>
      </c>
      <c r="K5" s="109"/>
      <c r="L5" s="109"/>
      <c r="M5" s="133"/>
      <c r="N5" s="108">
        <v>511739.28</v>
      </c>
      <c r="O5" s="133">
        <f t="shared" ref="O5:O33" si="6">N5/C5</f>
        <v>46521.752727272731</v>
      </c>
      <c r="P5" s="133">
        <v>253317.6</v>
      </c>
      <c r="Q5" s="108">
        <f t="shared" ref="Q5:Q33" si="7">P5/F5</f>
        <v>42219.6</v>
      </c>
      <c r="R5" s="133">
        <f t="shared" ref="R5:R33" si="8">SUM(N5:P5)</f>
        <v>811578.63272727269</v>
      </c>
    </row>
    <row r="6" spans="2:19" ht="15">
      <c r="B6" s="416">
        <v>3</v>
      </c>
      <c r="C6" s="108">
        <v>11</v>
      </c>
      <c r="D6" s="107">
        <f t="shared" si="0"/>
        <v>40939.142400000004</v>
      </c>
      <c r="E6" s="107">
        <f t="shared" si="1"/>
        <v>450330.56640000007</v>
      </c>
      <c r="F6" s="108">
        <v>6</v>
      </c>
      <c r="G6" s="448">
        <f t="shared" si="2"/>
        <v>37153.248</v>
      </c>
      <c r="H6" s="133">
        <f t="shared" si="3"/>
        <v>222919.48800000001</v>
      </c>
      <c r="I6" s="108">
        <f t="shared" si="4"/>
        <v>17</v>
      </c>
      <c r="J6" s="1003">
        <f t="shared" si="5"/>
        <v>673250.05440000002</v>
      </c>
      <c r="K6" s="109"/>
      <c r="L6" s="109"/>
      <c r="M6" s="133"/>
      <c r="N6" s="108">
        <v>511739.28</v>
      </c>
      <c r="O6" s="133">
        <f t="shared" si="6"/>
        <v>46521.752727272731</v>
      </c>
      <c r="P6" s="133">
        <v>253317.6</v>
      </c>
      <c r="Q6" s="108">
        <f t="shared" si="7"/>
        <v>42219.6</v>
      </c>
      <c r="R6" s="133">
        <f t="shared" si="8"/>
        <v>811578.63272727269</v>
      </c>
    </row>
    <row r="7" spans="2:19" ht="15">
      <c r="B7" s="416">
        <v>4</v>
      </c>
      <c r="C7" s="108">
        <v>11</v>
      </c>
      <c r="D7" s="107">
        <f t="shared" si="0"/>
        <v>40939.142400000004</v>
      </c>
      <c r="E7" s="107">
        <f t="shared" si="1"/>
        <v>450330.56640000007</v>
      </c>
      <c r="F7" s="108">
        <f>F6</f>
        <v>6</v>
      </c>
      <c r="G7" s="448">
        <f t="shared" si="2"/>
        <v>37153.248</v>
      </c>
      <c r="H7" s="133">
        <f t="shared" si="3"/>
        <v>222919.48800000001</v>
      </c>
      <c r="I7" s="108">
        <f t="shared" si="4"/>
        <v>17</v>
      </c>
      <c r="J7" s="1003">
        <f t="shared" si="5"/>
        <v>673250.05440000002</v>
      </c>
      <c r="K7" s="109"/>
      <c r="L7" s="109"/>
      <c r="M7" s="133"/>
      <c r="N7" s="108">
        <v>511739.28</v>
      </c>
      <c r="O7" s="133">
        <f t="shared" si="6"/>
        <v>46521.752727272731</v>
      </c>
      <c r="P7" s="133">
        <v>253317.6</v>
      </c>
      <c r="Q7" s="108">
        <f t="shared" si="7"/>
        <v>42219.6</v>
      </c>
      <c r="R7" s="133">
        <f t="shared" si="8"/>
        <v>811578.63272727269</v>
      </c>
    </row>
    <row r="8" spans="2:19" ht="15">
      <c r="B8" s="416">
        <v>5</v>
      </c>
      <c r="C8" s="108">
        <v>13</v>
      </c>
      <c r="D8" s="107">
        <f t="shared" si="0"/>
        <v>36883.456246153852</v>
      </c>
      <c r="E8" s="107">
        <f t="shared" si="1"/>
        <v>479484.93120000005</v>
      </c>
      <c r="F8" s="108">
        <f t="shared" ref="F8:F33" si="9">F7</f>
        <v>6</v>
      </c>
      <c r="G8" s="448">
        <f t="shared" si="2"/>
        <v>37153.248</v>
      </c>
      <c r="H8" s="133">
        <f t="shared" si="3"/>
        <v>222919.48800000001</v>
      </c>
      <c r="I8" s="108">
        <f t="shared" si="4"/>
        <v>19</v>
      </c>
      <c r="J8" s="1003">
        <f t="shared" si="5"/>
        <v>702404.41920000012</v>
      </c>
      <c r="K8" s="109"/>
      <c r="L8" s="109"/>
      <c r="M8" s="133"/>
      <c r="N8" s="108">
        <v>544869.24000000011</v>
      </c>
      <c r="O8" s="133">
        <f t="shared" si="6"/>
        <v>41913.018461538471</v>
      </c>
      <c r="P8" s="133">
        <v>253317.6</v>
      </c>
      <c r="Q8" s="108">
        <f t="shared" si="7"/>
        <v>42219.6</v>
      </c>
      <c r="R8" s="133">
        <f t="shared" si="8"/>
        <v>840099.85846153856</v>
      </c>
    </row>
    <row r="9" spans="2:19" ht="15">
      <c r="B9" s="416">
        <v>6</v>
      </c>
      <c r="C9" s="108">
        <v>13</v>
      </c>
      <c r="D9" s="107">
        <f t="shared" si="0"/>
        <v>36883.456246153852</v>
      </c>
      <c r="E9" s="107">
        <f t="shared" si="1"/>
        <v>479484.93120000005</v>
      </c>
      <c r="F9" s="108">
        <f t="shared" si="9"/>
        <v>6</v>
      </c>
      <c r="G9" s="448">
        <f t="shared" si="2"/>
        <v>37153.248</v>
      </c>
      <c r="H9" s="133">
        <f t="shared" si="3"/>
        <v>222919.48800000001</v>
      </c>
      <c r="I9" s="108">
        <f t="shared" si="4"/>
        <v>19</v>
      </c>
      <c r="J9" s="1003">
        <f t="shared" si="5"/>
        <v>702404.41920000012</v>
      </c>
      <c r="K9" s="109"/>
      <c r="L9" s="109"/>
      <c r="M9" s="133"/>
      <c r="N9" s="108">
        <v>544869.24000000011</v>
      </c>
      <c r="O9" s="133">
        <f t="shared" si="6"/>
        <v>41913.018461538471</v>
      </c>
      <c r="P9" s="133">
        <v>253317.6</v>
      </c>
      <c r="Q9" s="108">
        <f t="shared" si="7"/>
        <v>42219.6</v>
      </c>
      <c r="R9" s="133">
        <f t="shared" si="8"/>
        <v>840099.85846153856</v>
      </c>
    </row>
    <row r="10" spans="2:19" ht="15">
      <c r="B10" s="416">
        <v>7</v>
      </c>
      <c r="C10" s="108">
        <v>13</v>
      </c>
      <c r="D10" s="107">
        <f t="shared" si="0"/>
        <v>36883.456246153852</v>
      </c>
      <c r="E10" s="107">
        <f t="shared" si="1"/>
        <v>479484.93120000005</v>
      </c>
      <c r="F10" s="108">
        <f t="shared" si="9"/>
        <v>6</v>
      </c>
      <c r="G10" s="448">
        <f t="shared" si="2"/>
        <v>37153.248</v>
      </c>
      <c r="H10" s="133">
        <f t="shared" si="3"/>
        <v>222919.48800000001</v>
      </c>
      <c r="I10" s="108">
        <f t="shared" si="4"/>
        <v>19</v>
      </c>
      <c r="J10" s="1003">
        <f t="shared" si="5"/>
        <v>702404.41920000012</v>
      </c>
      <c r="K10" s="109"/>
      <c r="L10" s="109"/>
      <c r="M10" s="133"/>
      <c r="N10" s="108">
        <v>544869.24000000011</v>
      </c>
      <c r="O10" s="133">
        <f t="shared" si="6"/>
        <v>41913.018461538471</v>
      </c>
      <c r="P10" s="133">
        <v>253317.6</v>
      </c>
      <c r="Q10" s="108">
        <f t="shared" si="7"/>
        <v>42219.6</v>
      </c>
      <c r="R10" s="133">
        <f t="shared" si="8"/>
        <v>840099.85846153856</v>
      </c>
    </row>
    <row r="11" spans="2:19" ht="15">
      <c r="B11" s="416">
        <v>8</v>
      </c>
      <c r="C11" s="108">
        <v>13</v>
      </c>
      <c r="D11" s="107">
        <f t="shared" si="0"/>
        <v>36883.456246153852</v>
      </c>
      <c r="E11" s="107">
        <f t="shared" si="1"/>
        <v>479484.93120000005</v>
      </c>
      <c r="F11" s="108">
        <f t="shared" si="9"/>
        <v>6</v>
      </c>
      <c r="G11" s="448">
        <f t="shared" si="2"/>
        <v>37153.248</v>
      </c>
      <c r="H11" s="133">
        <f t="shared" si="3"/>
        <v>222919.48800000001</v>
      </c>
      <c r="I11" s="108">
        <f t="shared" si="4"/>
        <v>19</v>
      </c>
      <c r="J11" s="1003">
        <f t="shared" si="5"/>
        <v>702404.41920000012</v>
      </c>
      <c r="K11" s="109"/>
      <c r="L11" s="109"/>
      <c r="M11" s="133"/>
      <c r="N11" s="108">
        <v>544869.24000000011</v>
      </c>
      <c r="O11" s="133">
        <f t="shared" si="6"/>
        <v>41913.018461538471</v>
      </c>
      <c r="P11" s="133">
        <v>253317.6</v>
      </c>
      <c r="Q11" s="108">
        <f t="shared" si="7"/>
        <v>42219.6</v>
      </c>
      <c r="R11" s="133">
        <f t="shared" si="8"/>
        <v>840099.85846153856</v>
      </c>
    </row>
    <row r="12" spans="2:19" ht="15">
      <c r="B12" s="416">
        <v>9</v>
      </c>
      <c r="C12" s="108">
        <v>13</v>
      </c>
      <c r="D12" s="107">
        <f t="shared" si="0"/>
        <v>36883.456246153852</v>
      </c>
      <c r="E12" s="107">
        <f t="shared" si="1"/>
        <v>479484.93120000005</v>
      </c>
      <c r="F12" s="108">
        <f t="shared" si="9"/>
        <v>6</v>
      </c>
      <c r="G12" s="448">
        <f t="shared" si="2"/>
        <v>37153.248</v>
      </c>
      <c r="H12" s="133">
        <f t="shared" si="3"/>
        <v>222919.48800000001</v>
      </c>
      <c r="I12" s="108">
        <f t="shared" si="4"/>
        <v>19</v>
      </c>
      <c r="J12" s="1003">
        <f t="shared" si="5"/>
        <v>702404.41920000012</v>
      </c>
      <c r="K12" s="109"/>
      <c r="L12" s="109"/>
      <c r="M12" s="133"/>
      <c r="N12" s="108">
        <v>544869.24000000011</v>
      </c>
      <c r="O12" s="133">
        <f t="shared" si="6"/>
        <v>41913.018461538471</v>
      </c>
      <c r="P12" s="133">
        <v>253317.6</v>
      </c>
      <c r="Q12" s="108">
        <f t="shared" si="7"/>
        <v>42219.6</v>
      </c>
      <c r="R12" s="133">
        <f t="shared" si="8"/>
        <v>840099.85846153856</v>
      </c>
    </row>
    <row r="13" spans="2:19" ht="15">
      <c r="B13" s="416">
        <v>10</v>
      </c>
      <c r="C13" s="108">
        <v>13</v>
      </c>
      <c r="D13" s="107">
        <f t="shared" si="0"/>
        <v>36883.456246153852</v>
      </c>
      <c r="E13" s="107">
        <f t="shared" si="1"/>
        <v>479484.93120000005</v>
      </c>
      <c r="F13" s="108">
        <f t="shared" si="9"/>
        <v>6</v>
      </c>
      <c r="G13" s="448">
        <f t="shared" si="2"/>
        <v>37153.248</v>
      </c>
      <c r="H13" s="133">
        <f t="shared" si="3"/>
        <v>222919.48800000001</v>
      </c>
      <c r="I13" s="108">
        <f t="shared" si="4"/>
        <v>19</v>
      </c>
      <c r="J13" s="1003">
        <f t="shared" si="5"/>
        <v>702404.41920000012</v>
      </c>
      <c r="K13" s="109"/>
      <c r="L13" s="109"/>
      <c r="M13" s="133"/>
      <c r="N13" s="108">
        <v>544869.24000000011</v>
      </c>
      <c r="O13" s="133">
        <f t="shared" si="6"/>
        <v>41913.018461538471</v>
      </c>
      <c r="P13" s="133">
        <v>253317.6</v>
      </c>
      <c r="Q13" s="108">
        <f t="shared" si="7"/>
        <v>42219.6</v>
      </c>
      <c r="R13" s="133">
        <f t="shared" si="8"/>
        <v>840099.85846153856</v>
      </c>
    </row>
    <row r="14" spans="2:19" ht="15">
      <c r="B14" s="416">
        <v>11</v>
      </c>
      <c r="C14" s="108">
        <v>13</v>
      </c>
      <c r="D14" s="107">
        <f t="shared" si="0"/>
        <v>36883.456246153852</v>
      </c>
      <c r="E14" s="107">
        <f t="shared" si="1"/>
        <v>479484.93120000005</v>
      </c>
      <c r="F14" s="108">
        <f t="shared" si="9"/>
        <v>6</v>
      </c>
      <c r="G14" s="448">
        <f t="shared" si="2"/>
        <v>37153.248</v>
      </c>
      <c r="H14" s="133">
        <f t="shared" si="3"/>
        <v>222919.48800000001</v>
      </c>
      <c r="I14" s="108">
        <f t="shared" si="4"/>
        <v>19</v>
      </c>
      <c r="J14" s="1003">
        <f t="shared" si="5"/>
        <v>702404.41920000012</v>
      </c>
      <c r="K14" s="109"/>
      <c r="L14" s="109"/>
      <c r="M14" s="133"/>
      <c r="N14" s="108">
        <v>544869.24000000011</v>
      </c>
      <c r="O14" s="133">
        <f t="shared" si="6"/>
        <v>41913.018461538471</v>
      </c>
      <c r="P14" s="133">
        <v>253317.6</v>
      </c>
      <c r="Q14" s="108">
        <f t="shared" si="7"/>
        <v>42219.6</v>
      </c>
      <c r="R14" s="133">
        <f t="shared" si="8"/>
        <v>840099.85846153856</v>
      </c>
    </row>
    <row r="15" spans="2:19" ht="15">
      <c r="B15" s="416">
        <v>12</v>
      </c>
      <c r="C15" s="108">
        <v>13</v>
      </c>
      <c r="D15" s="107">
        <f t="shared" si="0"/>
        <v>36883.456246153852</v>
      </c>
      <c r="E15" s="107">
        <f t="shared" si="1"/>
        <v>479484.93120000005</v>
      </c>
      <c r="F15" s="108">
        <f t="shared" si="9"/>
        <v>6</v>
      </c>
      <c r="G15" s="448">
        <f t="shared" si="2"/>
        <v>37153.248</v>
      </c>
      <c r="H15" s="133">
        <f t="shared" si="3"/>
        <v>222919.48800000001</v>
      </c>
      <c r="I15" s="108">
        <f t="shared" si="4"/>
        <v>19</v>
      </c>
      <c r="J15" s="1003">
        <f t="shared" si="5"/>
        <v>702404.41920000012</v>
      </c>
      <c r="K15" s="109"/>
      <c r="M15" s="133"/>
      <c r="N15" s="108">
        <v>544869.24000000011</v>
      </c>
      <c r="O15" s="133">
        <f t="shared" si="6"/>
        <v>41913.018461538471</v>
      </c>
      <c r="P15" s="133">
        <v>253317.6</v>
      </c>
      <c r="Q15" s="108">
        <f t="shared" si="7"/>
        <v>42219.6</v>
      </c>
      <c r="R15" s="133">
        <f t="shared" si="8"/>
        <v>840099.85846153856</v>
      </c>
    </row>
    <row r="16" spans="2:19" ht="15">
      <c r="B16" s="416">
        <v>13</v>
      </c>
      <c r="C16" s="108">
        <f>C15</f>
        <v>13</v>
      </c>
      <c r="D16" s="107">
        <f t="shared" si="0"/>
        <v>36883.456246153852</v>
      </c>
      <c r="E16" s="107">
        <f t="shared" si="1"/>
        <v>479484.93120000005</v>
      </c>
      <c r="F16" s="108">
        <f t="shared" si="9"/>
        <v>6</v>
      </c>
      <c r="G16" s="448">
        <f t="shared" si="2"/>
        <v>37153.248</v>
      </c>
      <c r="H16" s="133">
        <f t="shared" si="3"/>
        <v>222919.48800000001</v>
      </c>
      <c r="I16" s="108">
        <f t="shared" si="4"/>
        <v>19</v>
      </c>
      <c r="J16" s="1003">
        <f t="shared" si="5"/>
        <v>702404.41920000012</v>
      </c>
      <c r="K16" s="109"/>
      <c r="L16" s="109"/>
      <c r="M16" s="133"/>
      <c r="N16" s="108">
        <v>544869.24000000011</v>
      </c>
      <c r="O16" s="133">
        <f t="shared" si="6"/>
        <v>41913.018461538471</v>
      </c>
      <c r="P16" s="133">
        <v>253317.6</v>
      </c>
      <c r="Q16" s="108">
        <f t="shared" si="7"/>
        <v>42219.6</v>
      </c>
      <c r="R16" s="133">
        <f t="shared" si="8"/>
        <v>840099.85846153856</v>
      </c>
    </row>
    <row r="17" spans="2:18" ht="15">
      <c r="B17" s="416">
        <v>14</v>
      </c>
      <c r="C17" s="108">
        <f t="shared" ref="C17:C33" si="10">C16</f>
        <v>13</v>
      </c>
      <c r="D17" s="107">
        <f t="shared" si="0"/>
        <v>36883.456246153852</v>
      </c>
      <c r="E17" s="107">
        <f t="shared" si="1"/>
        <v>479484.93120000005</v>
      </c>
      <c r="F17" s="108">
        <f t="shared" si="9"/>
        <v>6</v>
      </c>
      <c r="G17" s="448">
        <f t="shared" si="2"/>
        <v>37153.248</v>
      </c>
      <c r="H17" s="133">
        <f t="shared" si="3"/>
        <v>222919.48800000001</v>
      </c>
      <c r="I17" s="108">
        <f t="shared" si="4"/>
        <v>19</v>
      </c>
      <c r="J17" s="1003">
        <f t="shared" si="5"/>
        <v>702404.41920000012</v>
      </c>
      <c r="K17" s="109"/>
      <c r="L17" s="109"/>
      <c r="M17" s="133"/>
      <c r="N17" s="108">
        <v>544869.24000000011</v>
      </c>
      <c r="O17" s="133">
        <f t="shared" si="6"/>
        <v>41913.018461538471</v>
      </c>
      <c r="P17" s="133">
        <v>253317.6</v>
      </c>
      <c r="Q17" s="108">
        <f t="shared" si="7"/>
        <v>42219.6</v>
      </c>
      <c r="R17" s="133">
        <f t="shared" si="8"/>
        <v>840099.85846153856</v>
      </c>
    </row>
    <row r="18" spans="2:18" ht="15">
      <c r="B18" s="416">
        <v>15</v>
      </c>
      <c r="C18" s="108">
        <f t="shared" si="10"/>
        <v>13</v>
      </c>
      <c r="D18" s="107">
        <f t="shared" si="0"/>
        <v>36883.456246153852</v>
      </c>
      <c r="E18" s="107">
        <f t="shared" si="1"/>
        <v>479484.93120000005</v>
      </c>
      <c r="F18" s="108">
        <f t="shared" si="9"/>
        <v>6</v>
      </c>
      <c r="G18" s="448">
        <f t="shared" si="2"/>
        <v>37153.248</v>
      </c>
      <c r="H18" s="133">
        <f t="shared" si="3"/>
        <v>222919.48800000001</v>
      </c>
      <c r="I18" s="108">
        <f t="shared" si="4"/>
        <v>19</v>
      </c>
      <c r="J18" s="1003">
        <f t="shared" si="5"/>
        <v>702404.41920000012</v>
      </c>
      <c r="K18" s="109"/>
      <c r="L18" s="109"/>
      <c r="M18" s="133"/>
      <c r="N18" s="108">
        <v>544869.24000000011</v>
      </c>
      <c r="O18" s="133">
        <f t="shared" si="6"/>
        <v>41913.018461538471</v>
      </c>
      <c r="P18" s="133">
        <v>253317.6</v>
      </c>
      <c r="Q18" s="108">
        <f t="shared" si="7"/>
        <v>42219.6</v>
      </c>
      <c r="R18" s="133">
        <f t="shared" si="8"/>
        <v>840099.85846153856</v>
      </c>
    </row>
    <row r="19" spans="2:18" ht="15">
      <c r="B19" s="416">
        <v>16</v>
      </c>
      <c r="C19" s="108">
        <f t="shared" si="10"/>
        <v>13</v>
      </c>
      <c r="D19" s="107">
        <f t="shared" si="0"/>
        <v>36883.456246153852</v>
      </c>
      <c r="E19" s="107">
        <f t="shared" si="1"/>
        <v>479484.93120000005</v>
      </c>
      <c r="F19" s="108">
        <f t="shared" si="9"/>
        <v>6</v>
      </c>
      <c r="G19" s="448">
        <f t="shared" si="2"/>
        <v>37153.248</v>
      </c>
      <c r="H19" s="133">
        <f t="shared" si="3"/>
        <v>222919.48800000001</v>
      </c>
      <c r="I19" s="108">
        <f t="shared" si="4"/>
        <v>19</v>
      </c>
      <c r="J19" s="1003">
        <f t="shared" si="5"/>
        <v>702404.41920000012</v>
      </c>
      <c r="K19" s="109"/>
      <c r="L19" s="109"/>
      <c r="M19" s="133"/>
      <c r="N19" s="108">
        <v>544869.24000000011</v>
      </c>
      <c r="O19" s="133">
        <f t="shared" si="6"/>
        <v>41913.018461538471</v>
      </c>
      <c r="P19" s="133">
        <v>253317.6</v>
      </c>
      <c r="Q19" s="108">
        <f t="shared" si="7"/>
        <v>42219.6</v>
      </c>
      <c r="R19" s="133">
        <f t="shared" si="8"/>
        <v>840099.85846153856</v>
      </c>
    </row>
    <row r="20" spans="2:18" ht="15">
      <c r="B20" s="416">
        <v>17</v>
      </c>
      <c r="C20" s="108">
        <f t="shared" si="10"/>
        <v>13</v>
      </c>
      <c r="D20" s="107">
        <f t="shared" si="0"/>
        <v>36883.456246153852</v>
      </c>
      <c r="E20" s="107">
        <f t="shared" si="1"/>
        <v>479484.93120000005</v>
      </c>
      <c r="F20" s="108">
        <f t="shared" si="9"/>
        <v>6</v>
      </c>
      <c r="G20" s="448">
        <f t="shared" si="2"/>
        <v>37153.248</v>
      </c>
      <c r="H20" s="133">
        <f t="shared" si="3"/>
        <v>222919.48800000001</v>
      </c>
      <c r="I20" s="108">
        <f t="shared" si="4"/>
        <v>19</v>
      </c>
      <c r="J20" s="1003">
        <f t="shared" si="5"/>
        <v>702404.41920000012</v>
      </c>
      <c r="K20" s="109"/>
      <c r="L20" s="109"/>
      <c r="M20" s="133"/>
      <c r="N20" s="108">
        <v>544869.24000000011</v>
      </c>
      <c r="O20" s="133">
        <f t="shared" si="6"/>
        <v>41913.018461538471</v>
      </c>
      <c r="P20" s="133">
        <v>253317.6</v>
      </c>
      <c r="Q20" s="108">
        <f t="shared" si="7"/>
        <v>42219.6</v>
      </c>
      <c r="R20" s="133">
        <f t="shared" si="8"/>
        <v>840099.85846153856</v>
      </c>
    </row>
    <row r="21" spans="2:18" ht="15">
      <c r="B21" s="416">
        <v>18</v>
      </c>
      <c r="C21" s="108">
        <f t="shared" si="10"/>
        <v>13</v>
      </c>
      <c r="D21" s="107">
        <f t="shared" si="0"/>
        <v>36883.456246153852</v>
      </c>
      <c r="E21" s="107">
        <f t="shared" si="1"/>
        <v>479484.93120000005</v>
      </c>
      <c r="F21" s="108">
        <f t="shared" si="9"/>
        <v>6</v>
      </c>
      <c r="G21" s="448">
        <f t="shared" si="2"/>
        <v>37153.248</v>
      </c>
      <c r="H21" s="133">
        <f t="shared" si="3"/>
        <v>222919.48800000001</v>
      </c>
      <c r="I21" s="108">
        <f t="shared" si="4"/>
        <v>19</v>
      </c>
      <c r="J21" s="1003">
        <f t="shared" si="5"/>
        <v>702404.41920000012</v>
      </c>
      <c r="K21" s="109"/>
      <c r="L21" s="109"/>
      <c r="M21" s="133"/>
      <c r="N21" s="108">
        <v>544869.24000000011</v>
      </c>
      <c r="O21" s="133">
        <f t="shared" si="6"/>
        <v>41913.018461538471</v>
      </c>
      <c r="P21" s="133">
        <v>253317.6</v>
      </c>
      <c r="Q21" s="108">
        <f t="shared" si="7"/>
        <v>42219.6</v>
      </c>
      <c r="R21" s="133">
        <f t="shared" si="8"/>
        <v>840099.85846153856</v>
      </c>
    </row>
    <row r="22" spans="2:18" s="89" customFormat="1" ht="15">
      <c r="B22" s="416">
        <v>19</v>
      </c>
      <c r="C22" s="108">
        <f t="shared" si="10"/>
        <v>13</v>
      </c>
      <c r="D22" s="107">
        <f t="shared" si="0"/>
        <v>36883.456246153852</v>
      </c>
      <c r="E22" s="107">
        <f t="shared" si="1"/>
        <v>479484.93120000005</v>
      </c>
      <c r="F22" s="108">
        <f t="shared" si="9"/>
        <v>6</v>
      </c>
      <c r="G22" s="448">
        <f t="shared" si="2"/>
        <v>37153.248</v>
      </c>
      <c r="H22" s="133">
        <f t="shared" si="3"/>
        <v>222919.48800000001</v>
      </c>
      <c r="I22" s="108">
        <f t="shared" si="4"/>
        <v>19</v>
      </c>
      <c r="J22" s="1003">
        <f t="shared" si="5"/>
        <v>702404.41920000012</v>
      </c>
      <c r="K22" s="109"/>
      <c r="L22" s="109"/>
      <c r="M22" s="133"/>
      <c r="N22" s="108">
        <v>544869.24000000011</v>
      </c>
      <c r="O22" s="133">
        <f t="shared" si="6"/>
        <v>41913.018461538471</v>
      </c>
      <c r="P22" s="133">
        <v>253317.6</v>
      </c>
      <c r="Q22" s="108">
        <f t="shared" si="7"/>
        <v>42219.6</v>
      </c>
      <c r="R22" s="133">
        <f t="shared" si="8"/>
        <v>840099.85846153856</v>
      </c>
    </row>
    <row r="23" spans="2:18" ht="15">
      <c r="B23" s="416">
        <v>20</v>
      </c>
      <c r="C23" s="108">
        <f t="shared" si="10"/>
        <v>13</v>
      </c>
      <c r="D23" s="107">
        <f t="shared" si="0"/>
        <v>36883.456246153852</v>
      </c>
      <c r="E23" s="107">
        <f t="shared" si="1"/>
        <v>479484.93120000005</v>
      </c>
      <c r="F23" s="108">
        <f t="shared" si="9"/>
        <v>6</v>
      </c>
      <c r="G23" s="448">
        <f t="shared" si="2"/>
        <v>37153.248</v>
      </c>
      <c r="H23" s="133">
        <f t="shared" si="3"/>
        <v>222919.48800000001</v>
      </c>
      <c r="I23" s="108">
        <f t="shared" si="4"/>
        <v>19</v>
      </c>
      <c r="J23" s="1003">
        <f t="shared" si="5"/>
        <v>702404.41920000012</v>
      </c>
      <c r="K23" s="109"/>
      <c r="L23" s="109"/>
      <c r="M23" s="133"/>
      <c r="N23" s="108">
        <v>544869.24000000011</v>
      </c>
      <c r="O23" s="133">
        <f t="shared" si="6"/>
        <v>41913.018461538471</v>
      </c>
      <c r="P23" s="133">
        <v>253317.6</v>
      </c>
      <c r="Q23" s="108">
        <f t="shared" si="7"/>
        <v>42219.6</v>
      </c>
      <c r="R23" s="133">
        <f t="shared" si="8"/>
        <v>840099.85846153856</v>
      </c>
    </row>
    <row r="24" spans="2:18" ht="15">
      <c r="B24" s="416">
        <v>21</v>
      </c>
      <c r="C24" s="108">
        <f t="shared" si="10"/>
        <v>13</v>
      </c>
      <c r="D24" s="107">
        <f t="shared" si="0"/>
        <v>36883.456246153852</v>
      </c>
      <c r="E24" s="107">
        <f t="shared" si="1"/>
        <v>479484.93120000005</v>
      </c>
      <c r="F24" s="108">
        <f t="shared" si="9"/>
        <v>6</v>
      </c>
      <c r="G24" s="448">
        <f t="shared" si="2"/>
        <v>37153.248</v>
      </c>
      <c r="H24" s="133">
        <f t="shared" si="3"/>
        <v>222919.48800000001</v>
      </c>
      <c r="I24" s="108">
        <f t="shared" si="4"/>
        <v>19</v>
      </c>
      <c r="J24" s="1003">
        <f t="shared" si="5"/>
        <v>702404.41920000012</v>
      </c>
      <c r="K24" s="109"/>
      <c r="L24" s="109"/>
      <c r="M24" s="133"/>
      <c r="N24" s="108">
        <v>544869.24000000011</v>
      </c>
      <c r="O24" s="133">
        <f t="shared" si="6"/>
        <v>41913.018461538471</v>
      </c>
      <c r="P24" s="133">
        <v>253317.6</v>
      </c>
      <c r="Q24" s="108">
        <f t="shared" si="7"/>
        <v>42219.6</v>
      </c>
      <c r="R24" s="133">
        <f t="shared" si="8"/>
        <v>840099.85846153856</v>
      </c>
    </row>
    <row r="25" spans="2:18" ht="15">
      <c r="B25" s="416">
        <v>22</v>
      </c>
      <c r="C25" s="108">
        <f t="shared" si="10"/>
        <v>13</v>
      </c>
      <c r="D25" s="107">
        <f t="shared" si="0"/>
        <v>36883.456246153852</v>
      </c>
      <c r="E25" s="107">
        <f t="shared" si="1"/>
        <v>479484.93120000005</v>
      </c>
      <c r="F25" s="108">
        <f t="shared" si="9"/>
        <v>6</v>
      </c>
      <c r="G25" s="448">
        <f t="shared" si="2"/>
        <v>37153.248</v>
      </c>
      <c r="H25" s="133">
        <f t="shared" si="3"/>
        <v>222919.48800000001</v>
      </c>
      <c r="I25" s="108">
        <f t="shared" si="4"/>
        <v>19</v>
      </c>
      <c r="J25" s="1003">
        <f t="shared" si="5"/>
        <v>702404.41920000012</v>
      </c>
      <c r="K25" s="109"/>
      <c r="L25" s="109"/>
      <c r="M25" s="133"/>
      <c r="N25" s="108">
        <v>544869.24000000011</v>
      </c>
      <c r="O25" s="133">
        <f t="shared" si="6"/>
        <v>41913.018461538471</v>
      </c>
      <c r="P25" s="133">
        <v>253317.6</v>
      </c>
      <c r="Q25" s="108">
        <f t="shared" si="7"/>
        <v>42219.6</v>
      </c>
      <c r="R25" s="133">
        <f t="shared" si="8"/>
        <v>840099.85846153856</v>
      </c>
    </row>
    <row r="26" spans="2:18" s="89" customFormat="1" ht="15">
      <c r="B26" s="416">
        <v>23</v>
      </c>
      <c r="C26" s="108">
        <f t="shared" si="10"/>
        <v>13</v>
      </c>
      <c r="D26" s="107">
        <f t="shared" si="0"/>
        <v>36883.456246153852</v>
      </c>
      <c r="E26" s="107">
        <f t="shared" si="1"/>
        <v>479484.93120000005</v>
      </c>
      <c r="F26" s="108">
        <f t="shared" si="9"/>
        <v>6</v>
      </c>
      <c r="G26" s="448">
        <f t="shared" si="2"/>
        <v>37153.248</v>
      </c>
      <c r="H26" s="133">
        <f t="shared" si="3"/>
        <v>222919.48800000001</v>
      </c>
      <c r="I26" s="108">
        <f t="shared" si="4"/>
        <v>19</v>
      </c>
      <c r="J26" s="1003">
        <f t="shared" si="5"/>
        <v>702404.41920000012</v>
      </c>
      <c r="K26" s="109"/>
      <c r="L26" s="109"/>
      <c r="M26" s="133"/>
      <c r="N26" s="108">
        <v>544869.24000000011</v>
      </c>
      <c r="O26" s="133">
        <f t="shared" si="6"/>
        <v>41913.018461538471</v>
      </c>
      <c r="P26" s="133">
        <v>253317.6</v>
      </c>
      <c r="Q26" s="108">
        <f t="shared" si="7"/>
        <v>42219.6</v>
      </c>
      <c r="R26" s="133">
        <f t="shared" si="8"/>
        <v>840099.85846153856</v>
      </c>
    </row>
    <row r="27" spans="2:18" s="89" customFormat="1" ht="15">
      <c r="B27" s="416">
        <v>24</v>
      </c>
      <c r="C27" s="108">
        <f t="shared" si="10"/>
        <v>13</v>
      </c>
      <c r="D27" s="107">
        <f t="shared" si="0"/>
        <v>36883.456246153852</v>
      </c>
      <c r="E27" s="107">
        <f t="shared" si="1"/>
        <v>479484.93120000005</v>
      </c>
      <c r="F27" s="108">
        <f t="shared" si="9"/>
        <v>6</v>
      </c>
      <c r="G27" s="448">
        <f t="shared" si="2"/>
        <v>37153.248</v>
      </c>
      <c r="H27" s="133">
        <f t="shared" si="3"/>
        <v>222919.48800000001</v>
      </c>
      <c r="I27" s="108">
        <f t="shared" si="4"/>
        <v>19</v>
      </c>
      <c r="J27" s="1003">
        <f t="shared" si="5"/>
        <v>702404.41920000012</v>
      </c>
      <c r="K27" s="109"/>
      <c r="L27" s="109"/>
      <c r="M27" s="133"/>
      <c r="N27" s="108">
        <v>544869.24000000011</v>
      </c>
      <c r="O27" s="133">
        <f t="shared" si="6"/>
        <v>41913.018461538471</v>
      </c>
      <c r="P27" s="133">
        <v>253317.6</v>
      </c>
      <c r="Q27" s="108">
        <f t="shared" si="7"/>
        <v>42219.6</v>
      </c>
      <c r="R27" s="133">
        <f t="shared" si="8"/>
        <v>840099.85846153856</v>
      </c>
    </row>
    <row r="28" spans="2:18" ht="15">
      <c r="B28" s="416">
        <v>25</v>
      </c>
      <c r="C28" s="108">
        <f t="shared" si="10"/>
        <v>13</v>
      </c>
      <c r="D28" s="107">
        <f t="shared" si="0"/>
        <v>36883.456246153852</v>
      </c>
      <c r="E28" s="107">
        <f t="shared" si="1"/>
        <v>479484.93120000005</v>
      </c>
      <c r="F28" s="108">
        <f t="shared" si="9"/>
        <v>6</v>
      </c>
      <c r="G28" s="448">
        <f t="shared" si="2"/>
        <v>37153.248</v>
      </c>
      <c r="H28" s="133">
        <f t="shared" si="3"/>
        <v>222919.48800000001</v>
      </c>
      <c r="I28" s="108">
        <f t="shared" si="4"/>
        <v>19</v>
      </c>
      <c r="J28" s="1003">
        <f t="shared" si="5"/>
        <v>702404.41920000012</v>
      </c>
      <c r="K28" s="109"/>
      <c r="L28" s="109"/>
      <c r="M28" s="133"/>
      <c r="N28" s="108">
        <v>544869.24000000011</v>
      </c>
      <c r="O28" s="133">
        <f t="shared" si="6"/>
        <v>41913.018461538471</v>
      </c>
      <c r="P28" s="133">
        <v>253317.6</v>
      </c>
      <c r="Q28" s="108">
        <f t="shared" si="7"/>
        <v>42219.6</v>
      </c>
      <c r="R28" s="133">
        <f t="shared" si="8"/>
        <v>840099.85846153856</v>
      </c>
    </row>
    <row r="29" spans="2:18" ht="15">
      <c r="B29" s="416">
        <v>26</v>
      </c>
      <c r="C29" s="108">
        <f t="shared" si="10"/>
        <v>13</v>
      </c>
      <c r="D29" s="107">
        <f t="shared" si="0"/>
        <v>36883.456246153852</v>
      </c>
      <c r="E29" s="107">
        <f t="shared" si="1"/>
        <v>479484.93120000005</v>
      </c>
      <c r="F29" s="108">
        <f t="shared" si="9"/>
        <v>6</v>
      </c>
      <c r="G29" s="448">
        <f t="shared" si="2"/>
        <v>37153.248</v>
      </c>
      <c r="H29" s="133">
        <f t="shared" si="3"/>
        <v>222919.48800000001</v>
      </c>
      <c r="I29" s="108">
        <f t="shared" si="4"/>
        <v>19</v>
      </c>
      <c r="J29" s="1003">
        <f t="shared" si="5"/>
        <v>702404.41920000012</v>
      </c>
      <c r="K29" s="109"/>
      <c r="L29" s="109"/>
      <c r="M29" s="133"/>
      <c r="N29" s="108">
        <v>544869.24000000011</v>
      </c>
      <c r="O29" s="133">
        <f t="shared" si="6"/>
        <v>41913.018461538471</v>
      </c>
      <c r="P29" s="133">
        <v>253317.6</v>
      </c>
      <c r="Q29" s="108">
        <f>P29/F29</f>
        <v>42219.6</v>
      </c>
      <c r="R29" s="133">
        <f t="shared" si="8"/>
        <v>840099.85846153856</v>
      </c>
    </row>
    <row r="30" spans="2:18" ht="15">
      <c r="B30" s="416">
        <v>27</v>
      </c>
      <c r="C30" s="108">
        <f t="shared" si="10"/>
        <v>13</v>
      </c>
      <c r="D30" s="107">
        <f t="shared" si="0"/>
        <v>36883.456246153852</v>
      </c>
      <c r="E30" s="107">
        <f t="shared" si="1"/>
        <v>479484.93120000005</v>
      </c>
      <c r="F30" s="108">
        <f t="shared" si="9"/>
        <v>6</v>
      </c>
      <c r="G30" s="448">
        <f t="shared" si="2"/>
        <v>37153.248</v>
      </c>
      <c r="H30" s="133">
        <f t="shared" si="3"/>
        <v>222919.48800000001</v>
      </c>
      <c r="I30" s="108">
        <f t="shared" si="4"/>
        <v>19</v>
      </c>
      <c r="J30" s="1003">
        <f t="shared" si="5"/>
        <v>702404.41920000012</v>
      </c>
      <c r="K30" s="109"/>
      <c r="L30" s="109"/>
      <c r="M30" s="133"/>
      <c r="N30" s="108">
        <v>544869.24000000011</v>
      </c>
      <c r="O30" s="133">
        <f t="shared" si="6"/>
        <v>41913.018461538471</v>
      </c>
      <c r="P30" s="133">
        <v>253317.6</v>
      </c>
      <c r="Q30" s="108">
        <f t="shared" si="7"/>
        <v>42219.6</v>
      </c>
      <c r="R30" s="133">
        <f t="shared" si="8"/>
        <v>840099.85846153856</v>
      </c>
    </row>
    <row r="31" spans="2:18" ht="15">
      <c r="B31" s="416">
        <v>28</v>
      </c>
      <c r="C31" s="108">
        <f t="shared" si="10"/>
        <v>13</v>
      </c>
      <c r="D31" s="107">
        <f t="shared" si="0"/>
        <v>36883.456246153852</v>
      </c>
      <c r="E31" s="107">
        <f t="shared" si="1"/>
        <v>479484.93120000005</v>
      </c>
      <c r="F31" s="108">
        <f t="shared" si="9"/>
        <v>6</v>
      </c>
      <c r="G31" s="448">
        <f t="shared" si="2"/>
        <v>37153.248</v>
      </c>
      <c r="H31" s="133">
        <f t="shared" si="3"/>
        <v>222919.48800000001</v>
      </c>
      <c r="I31" s="108">
        <f t="shared" si="4"/>
        <v>19</v>
      </c>
      <c r="J31" s="1003">
        <f t="shared" si="5"/>
        <v>702404.41920000012</v>
      </c>
      <c r="K31" s="109"/>
      <c r="L31" s="109"/>
      <c r="M31" s="133"/>
      <c r="N31" s="108">
        <v>544869.24000000011</v>
      </c>
      <c r="O31" s="133">
        <f t="shared" si="6"/>
        <v>41913.018461538471</v>
      </c>
      <c r="P31" s="133">
        <v>253317.6</v>
      </c>
      <c r="Q31" s="108">
        <f t="shared" si="7"/>
        <v>42219.6</v>
      </c>
      <c r="R31" s="133">
        <f t="shared" si="8"/>
        <v>840099.85846153856</v>
      </c>
    </row>
    <row r="32" spans="2:18" ht="15">
      <c r="B32" s="416">
        <v>29</v>
      </c>
      <c r="C32" s="108">
        <f t="shared" si="10"/>
        <v>13</v>
      </c>
      <c r="D32" s="107">
        <f t="shared" si="0"/>
        <v>36883.456246153852</v>
      </c>
      <c r="E32" s="107">
        <f t="shared" si="1"/>
        <v>479484.93120000005</v>
      </c>
      <c r="F32" s="108">
        <f t="shared" si="9"/>
        <v>6</v>
      </c>
      <c r="G32" s="448">
        <f t="shared" si="2"/>
        <v>37153.248</v>
      </c>
      <c r="H32" s="133">
        <f t="shared" si="3"/>
        <v>222919.48800000001</v>
      </c>
      <c r="I32" s="108">
        <f t="shared" si="4"/>
        <v>19</v>
      </c>
      <c r="J32" s="1003">
        <f t="shared" si="5"/>
        <v>702404.41920000012</v>
      </c>
      <c r="K32" s="109"/>
      <c r="L32" s="109"/>
      <c r="M32" s="133"/>
      <c r="N32" s="108">
        <v>544869.24000000011</v>
      </c>
      <c r="O32" s="133">
        <f t="shared" si="6"/>
        <v>41913.018461538471</v>
      </c>
      <c r="P32" s="133">
        <v>253317.6</v>
      </c>
      <c r="Q32" s="108">
        <f t="shared" si="7"/>
        <v>42219.6</v>
      </c>
      <c r="R32" s="133">
        <f t="shared" si="8"/>
        <v>840099.85846153856</v>
      </c>
    </row>
    <row r="33" spans="2:18" ht="15.75" thickBot="1">
      <c r="B33" s="417">
        <v>30</v>
      </c>
      <c r="C33" s="370">
        <f t="shared" si="10"/>
        <v>13</v>
      </c>
      <c r="D33" s="369">
        <f t="shared" si="0"/>
        <v>36883.456246153852</v>
      </c>
      <c r="E33" s="369">
        <f>D33*C33</f>
        <v>479484.93120000005</v>
      </c>
      <c r="F33" s="370">
        <f t="shared" si="9"/>
        <v>6</v>
      </c>
      <c r="G33" s="380">
        <f t="shared" si="2"/>
        <v>37153.248</v>
      </c>
      <c r="H33" s="418">
        <f t="shared" si="3"/>
        <v>222919.48800000001</v>
      </c>
      <c r="I33" s="370">
        <f t="shared" si="4"/>
        <v>19</v>
      </c>
      <c r="J33" s="1004">
        <f t="shared" si="5"/>
        <v>702404.41920000012</v>
      </c>
      <c r="K33" s="109"/>
      <c r="L33" s="109"/>
      <c r="M33" s="133"/>
      <c r="N33" s="108">
        <v>544869.24000000011</v>
      </c>
      <c r="O33" s="133">
        <f t="shared" si="6"/>
        <v>41913.018461538471</v>
      </c>
      <c r="P33" s="133">
        <v>253317.6</v>
      </c>
      <c r="Q33" s="108">
        <f t="shared" si="7"/>
        <v>42219.6</v>
      </c>
      <c r="R33" s="133">
        <f t="shared" si="8"/>
        <v>840099.85846153856</v>
      </c>
    </row>
    <row r="34" spans="2:18" ht="15">
      <c r="I34" s="136"/>
      <c r="J34" s="1005">
        <f>SUM(J4:J33)</f>
        <v>20955515.116799995</v>
      </c>
      <c r="N34" s="110">
        <f>SUM(N4:N33)</f>
        <v>16213557.360000005</v>
      </c>
      <c r="P34" s="110">
        <f>SUM(P4:P33)</f>
        <v>7599527.9999999963</v>
      </c>
      <c r="R34" s="110">
        <f>SUM(R4:R33)</f>
        <v>25088910.850909106</v>
      </c>
    </row>
    <row r="35" spans="2:18">
      <c r="E35" s="110">
        <f>SUM(E5:E34)</f>
        <v>13817599.910399999</v>
      </c>
      <c r="H35" s="110">
        <f>SUM(H5:H34)</f>
        <v>6464665.1519999979</v>
      </c>
      <c r="J35" s="137"/>
      <c r="K35" s="137"/>
      <c r="L35" s="137"/>
    </row>
  </sheetData>
  <mergeCells count="16">
    <mergeCell ref="R2:R3"/>
    <mergeCell ref="B1:J1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M2:M3"/>
    <mergeCell ref="N2:N3"/>
    <mergeCell ref="O2:O3"/>
    <mergeCell ref="P2:P3"/>
    <mergeCell ref="Q2:Q3"/>
  </mergeCells>
  <pageMargins left="0.511811024" right="0.511811024" top="0.78740157499999996" bottom="0.78740157499999996" header="0.31496062000000002" footer="0.3149606200000000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11">
    <tabColor rgb="FF7030A0"/>
    <pageSetUpPr fitToPage="1"/>
  </sheetPr>
  <dimension ref="B1:S43"/>
  <sheetViews>
    <sheetView showGridLines="0" zoomScale="80" zoomScaleNormal="80" workbookViewId="0">
      <selection activeCell="B20" sqref="B20"/>
    </sheetView>
  </sheetViews>
  <sheetFormatPr defaultColWidth="11.5703125" defaultRowHeight="14.25"/>
  <cols>
    <col min="1" max="1" width="2.7109375" style="41" customWidth="1"/>
    <col min="2" max="2" width="9" style="41" customWidth="1"/>
    <col min="3" max="3" width="17" style="41" customWidth="1"/>
    <col min="4" max="4" width="18.5703125" style="41" customWidth="1"/>
    <col min="5" max="6" width="17" style="41" customWidth="1"/>
    <col min="7" max="7" width="18.42578125" style="41" customWidth="1"/>
    <col min="8" max="10" width="17" style="41" customWidth="1"/>
    <col min="11" max="11" width="2.7109375" style="41" customWidth="1"/>
    <col min="12" max="12" width="11.5703125" style="41" customWidth="1"/>
    <col min="13" max="18" width="16.140625" style="41" customWidth="1"/>
    <col min="19" max="19" width="15" style="41" customWidth="1"/>
    <col min="20" max="16384" width="11.5703125" style="41"/>
  </cols>
  <sheetData>
    <row r="1" spans="2:19" ht="48.75" customHeight="1" thickBot="1">
      <c r="B1" s="1208" t="s">
        <v>48</v>
      </c>
      <c r="C1" s="1208"/>
      <c r="D1" s="1208"/>
      <c r="E1" s="1208"/>
      <c r="F1" s="1208"/>
      <c r="G1" s="1208"/>
      <c r="H1" s="1208"/>
      <c r="I1" s="1208"/>
      <c r="J1" s="1208"/>
    </row>
    <row r="2" spans="2:19" ht="42" customHeight="1">
      <c r="B2" s="1266" t="s">
        <v>1</v>
      </c>
      <c r="C2" s="1228" t="s">
        <v>2</v>
      </c>
      <c r="D2" s="1232" t="s">
        <v>19</v>
      </c>
      <c r="E2" s="1228" t="s">
        <v>20</v>
      </c>
      <c r="F2" s="1268" t="s">
        <v>16</v>
      </c>
      <c r="G2" s="1228" t="s">
        <v>31</v>
      </c>
      <c r="H2" s="1232" t="s">
        <v>21</v>
      </c>
      <c r="I2" s="1228" t="s">
        <v>3</v>
      </c>
      <c r="J2" s="1230" t="s">
        <v>32</v>
      </c>
      <c r="M2" s="1270" t="e">
        <f>#REF!</f>
        <v>#REF!</v>
      </c>
      <c r="N2" s="1265" t="s">
        <v>85</v>
      </c>
      <c r="O2" s="1265"/>
      <c r="P2" s="1265" t="s">
        <v>86</v>
      </c>
      <c r="Q2" s="1265"/>
      <c r="R2" s="1265"/>
    </row>
    <row r="3" spans="2:19" s="89" customFormat="1" ht="42" customHeight="1" thickBot="1">
      <c r="B3" s="1267"/>
      <c r="C3" s="1229"/>
      <c r="D3" s="1233"/>
      <c r="E3" s="1229"/>
      <c r="F3" s="1269"/>
      <c r="G3" s="1229"/>
      <c r="H3" s="1233"/>
      <c r="I3" s="1229"/>
      <c r="J3" s="1231"/>
      <c r="K3" s="132"/>
      <c r="L3" s="132"/>
      <c r="M3" s="1270"/>
      <c r="N3" s="1265"/>
      <c r="O3" s="1265"/>
      <c r="P3" s="1265"/>
      <c r="Q3" s="1265"/>
      <c r="R3" s="1265"/>
    </row>
    <row r="4" spans="2:19" ht="20.25" customHeight="1">
      <c r="B4" s="415">
        <v>1</v>
      </c>
      <c r="C4" s="989">
        <v>6</v>
      </c>
      <c r="D4" s="990">
        <v>40939.14</v>
      </c>
      <c r="E4" s="990">
        <f>D4*C4</f>
        <v>245634.84</v>
      </c>
      <c r="F4" s="989">
        <v>4</v>
      </c>
      <c r="G4" s="991">
        <v>37153.25</v>
      </c>
      <c r="H4" s="992">
        <f>G4*F4</f>
        <v>148613</v>
      </c>
      <c r="I4" s="989">
        <f>C4+F4</f>
        <v>10</v>
      </c>
      <c r="J4" s="993">
        <f>E4+H4</f>
        <v>394247.83999999997</v>
      </c>
      <c r="K4" s="109"/>
      <c r="L4" s="109"/>
      <c r="M4" s="133"/>
      <c r="N4" s="108">
        <v>511739.28</v>
      </c>
      <c r="O4" s="133">
        <f>N4/C4</f>
        <v>85289.88</v>
      </c>
      <c r="P4" s="133">
        <v>253317.6</v>
      </c>
      <c r="Q4" s="108">
        <f>P4/F4</f>
        <v>63329.4</v>
      </c>
      <c r="R4" s="133">
        <f>SUM(N4:P4)</f>
        <v>850346.76</v>
      </c>
      <c r="S4" s="135"/>
    </row>
    <row r="5" spans="2:19" ht="20.25" customHeight="1">
      <c r="B5" s="416">
        <v>2</v>
      </c>
      <c r="C5" s="994">
        <v>11</v>
      </c>
      <c r="D5" s="995">
        <v>40939.14</v>
      </c>
      <c r="E5" s="995">
        <f t="shared" ref="E5:E32" si="0">D5*C5</f>
        <v>450330.54</v>
      </c>
      <c r="F5" s="994">
        <v>4</v>
      </c>
      <c r="G5" s="996">
        <v>37153.25</v>
      </c>
      <c r="H5" s="997">
        <f t="shared" ref="H5:H33" si="1">G5*F5</f>
        <v>148613</v>
      </c>
      <c r="I5" s="994">
        <f t="shared" ref="I5:I33" si="2">C5+F5</f>
        <v>15</v>
      </c>
      <c r="J5" s="998">
        <f t="shared" ref="J5:J33" si="3">E5+H5</f>
        <v>598943.54</v>
      </c>
      <c r="K5" s="109"/>
      <c r="L5" s="109"/>
      <c r="M5" s="133"/>
      <c r="N5" s="108">
        <v>511739.28</v>
      </c>
      <c r="O5" s="133">
        <f t="shared" ref="O5:O33" si="4">N5/C5</f>
        <v>46521.752727272731</v>
      </c>
      <c r="P5" s="133">
        <v>253317.6</v>
      </c>
      <c r="Q5" s="108">
        <f t="shared" ref="Q5:Q33" si="5">P5/F5</f>
        <v>63329.4</v>
      </c>
      <c r="R5" s="133">
        <f t="shared" ref="R5:R33" si="6">SUM(N5:P5)</f>
        <v>811578.63272727269</v>
      </c>
    </row>
    <row r="6" spans="2:19" ht="20.25" customHeight="1">
      <c r="B6" s="416">
        <v>3</v>
      </c>
      <c r="C6" s="994">
        <v>16</v>
      </c>
      <c r="D6" s="995">
        <v>40939.14</v>
      </c>
      <c r="E6" s="995">
        <f t="shared" si="0"/>
        <v>655026.24</v>
      </c>
      <c r="F6" s="994">
        <v>5</v>
      </c>
      <c r="G6" s="996">
        <v>37153.25</v>
      </c>
      <c r="H6" s="997">
        <f t="shared" si="1"/>
        <v>185766.25</v>
      </c>
      <c r="I6" s="994">
        <f t="shared" si="2"/>
        <v>21</v>
      </c>
      <c r="J6" s="998">
        <f t="shared" si="3"/>
        <v>840792.49</v>
      </c>
      <c r="K6" s="109"/>
      <c r="L6" s="109"/>
      <c r="M6" s="133"/>
      <c r="N6" s="108">
        <v>511739.28</v>
      </c>
      <c r="O6" s="133">
        <f t="shared" si="4"/>
        <v>31983.705000000002</v>
      </c>
      <c r="P6" s="133">
        <v>253317.6</v>
      </c>
      <c r="Q6" s="108">
        <f t="shared" si="5"/>
        <v>50663.520000000004</v>
      </c>
      <c r="R6" s="133">
        <f t="shared" si="6"/>
        <v>797040.58499999996</v>
      </c>
    </row>
    <row r="7" spans="2:19" ht="20.25" customHeight="1">
      <c r="B7" s="416">
        <v>4</v>
      </c>
      <c r="C7" s="994">
        <v>18</v>
      </c>
      <c r="D7" s="995">
        <v>40939.14</v>
      </c>
      <c r="E7" s="995">
        <f t="shared" si="0"/>
        <v>736904.52</v>
      </c>
      <c r="F7" s="994">
        <v>6</v>
      </c>
      <c r="G7" s="996">
        <v>37153.25</v>
      </c>
      <c r="H7" s="997">
        <f t="shared" si="1"/>
        <v>222919.5</v>
      </c>
      <c r="I7" s="994">
        <f t="shared" si="2"/>
        <v>24</v>
      </c>
      <c r="J7" s="998">
        <f t="shared" si="3"/>
        <v>959824.02</v>
      </c>
      <c r="K7" s="109"/>
      <c r="L7" s="109"/>
      <c r="M7" s="133"/>
      <c r="N7" s="108">
        <v>511739.28</v>
      </c>
      <c r="O7" s="133">
        <f t="shared" si="4"/>
        <v>28429.960000000003</v>
      </c>
      <c r="P7" s="133">
        <v>253317.6</v>
      </c>
      <c r="Q7" s="108">
        <f t="shared" si="5"/>
        <v>42219.6</v>
      </c>
      <c r="R7" s="133">
        <f t="shared" si="6"/>
        <v>793486.84</v>
      </c>
    </row>
    <row r="8" spans="2:19" ht="20.25" customHeight="1">
      <c r="B8" s="416">
        <v>5</v>
      </c>
      <c r="C8" s="994">
        <v>15</v>
      </c>
      <c r="D8" s="107">
        <v>36883.46</v>
      </c>
      <c r="E8" s="905">
        <f t="shared" si="0"/>
        <v>553251.9</v>
      </c>
      <c r="F8" s="108">
        <f t="shared" ref="F8:F33" si="7">F7</f>
        <v>6</v>
      </c>
      <c r="G8" s="448">
        <v>37153.25</v>
      </c>
      <c r="H8" s="133">
        <f t="shared" si="1"/>
        <v>222919.5</v>
      </c>
      <c r="I8" s="994">
        <f t="shared" si="2"/>
        <v>21</v>
      </c>
      <c r="J8" s="907">
        <f t="shared" si="3"/>
        <v>776171.4</v>
      </c>
      <c r="K8" s="109"/>
      <c r="L8" s="109"/>
      <c r="M8" s="133"/>
      <c r="N8" s="108">
        <v>544869.24000000011</v>
      </c>
      <c r="O8" s="133">
        <f t="shared" si="4"/>
        <v>36324.616000000009</v>
      </c>
      <c r="P8" s="133">
        <v>253317.6</v>
      </c>
      <c r="Q8" s="108">
        <f t="shared" si="5"/>
        <v>42219.6</v>
      </c>
      <c r="R8" s="133">
        <f t="shared" si="6"/>
        <v>834511.45600000012</v>
      </c>
    </row>
    <row r="9" spans="2:19" ht="20.25" customHeight="1">
      <c r="B9" s="416">
        <v>6</v>
      </c>
      <c r="C9" s="994">
        <v>15</v>
      </c>
      <c r="D9" s="107">
        <v>36883.46</v>
      </c>
      <c r="E9" s="905">
        <f t="shared" si="0"/>
        <v>553251.9</v>
      </c>
      <c r="F9" s="108">
        <f t="shared" si="7"/>
        <v>6</v>
      </c>
      <c r="G9" s="448">
        <v>37153.25</v>
      </c>
      <c r="H9" s="133">
        <f t="shared" si="1"/>
        <v>222919.5</v>
      </c>
      <c r="I9" s="994">
        <f t="shared" si="2"/>
        <v>21</v>
      </c>
      <c r="J9" s="907">
        <f t="shared" si="3"/>
        <v>776171.4</v>
      </c>
      <c r="K9" s="109"/>
      <c r="L9" s="109"/>
      <c r="M9" s="133"/>
      <c r="N9" s="108">
        <v>544869.24000000011</v>
      </c>
      <c r="O9" s="133">
        <f t="shared" si="4"/>
        <v>36324.616000000009</v>
      </c>
      <c r="P9" s="133">
        <v>253317.6</v>
      </c>
      <c r="Q9" s="108">
        <f t="shared" si="5"/>
        <v>42219.6</v>
      </c>
      <c r="R9" s="133">
        <f t="shared" si="6"/>
        <v>834511.45600000012</v>
      </c>
    </row>
    <row r="10" spans="2:19" ht="20.25" customHeight="1">
      <c r="B10" s="416">
        <v>7</v>
      </c>
      <c r="C10" s="994">
        <v>15</v>
      </c>
      <c r="D10" s="107">
        <v>36883.46</v>
      </c>
      <c r="E10" s="905">
        <f t="shared" si="0"/>
        <v>553251.9</v>
      </c>
      <c r="F10" s="108">
        <f t="shared" si="7"/>
        <v>6</v>
      </c>
      <c r="G10" s="448">
        <v>37153.25</v>
      </c>
      <c r="H10" s="133">
        <f t="shared" si="1"/>
        <v>222919.5</v>
      </c>
      <c r="I10" s="994">
        <f t="shared" si="2"/>
        <v>21</v>
      </c>
      <c r="J10" s="907">
        <f t="shared" si="3"/>
        <v>776171.4</v>
      </c>
      <c r="K10" s="109"/>
      <c r="L10" s="109"/>
      <c r="M10" s="133"/>
      <c r="N10" s="108">
        <v>544869.24000000011</v>
      </c>
      <c r="O10" s="133">
        <f t="shared" si="4"/>
        <v>36324.616000000009</v>
      </c>
      <c r="P10" s="133">
        <v>253317.6</v>
      </c>
      <c r="Q10" s="108">
        <f t="shared" si="5"/>
        <v>42219.6</v>
      </c>
      <c r="R10" s="133">
        <f t="shared" si="6"/>
        <v>834511.45600000012</v>
      </c>
    </row>
    <row r="11" spans="2:19" ht="20.25" customHeight="1">
      <c r="B11" s="416">
        <v>8</v>
      </c>
      <c r="C11" s="994">
        <v>15</v>
      </c>
      <c r="D11" s="107">
        <v>36883.46</v>
      </c>
      <c r="E11" s="905">
        <f t="shared" si="0"/>
        <v>553251.9</v>
      </c>
      <c r="F11" s="108">
        <f t="shared" si="7"/>
        <v>6</v>
      </c>
      <c r="G11" s="448">
        <v>37153.25</v>
      </c>
      <c r="H11" s="133">
        <f t="shared" si="1"/>
        <v>222919.5</v>
      </c>
      <c r="I11" s="994">
        <f t="shared" si="2"/>
        <v>21</v>
      </c>
      <c r="J11" s="907">
        <f t="shared" si="3"/>
        <v>776171.4</v>
      </c>
      <c r="K11" s="109"/>
      <c r="L11" s="109"/>
      <c r="M11" s="133"/>
      <c r="N11" s="108">
        <v>544869.24000000011</v>
      </c>
      <c r="O11" s="133">
        <f t="shared" si="4"/>
        <v>36324.616000000009</v>
      </c>
      <c r="P11" s="133">
        <v>253317.6</v>
      </c>
      <c r="Q11" s="108">
        <f t="shared" si="5"/>
        <v>42219.6</v>
      </c>
      <c r="R11" s="133">
        <f t="shared" si="6"/>
        <v>834511.45600000012</v>
      </c>
    </row>
    <row r="12" spans="2:19" ht="20.25" customHeight="1">
      <c r="B12" s="416">
        <v>9</v>
      </c>
      <c r="C12" s="994">
        <v>15</v>
      </c>
      <c r="D12" s="107">
        <v>36883.46</v>
      </c>
      <c r="E12" s="905">
        <f t="shared" si="0"/>
        <v>553251.9</v>
      </c>
      <c r="F12" s="108">
        <f t="shared" si="7"/>
        <v>6</v>
      </c>
      <c r="G12" s="448">
        <v>37153.25</v>
      </c>
      <c r="H12" s="133">
        <f t="shared" si="1"/>
        <v>222919.5</v>
      </c>
      <c r="I12" s="994">
        <f t="shared" si="2"/>
        <v>21</v>
      </c>
      <c r="J12" s="907">
        <f t="shared" si="3"/>
        <v>776171.4</v>
      </c>
      <c r="K12" s="109"/>
      <c r="L12" s="109"/>
      <c r="M12" s="133"/>
      <c r="N12" s="108">
        <v>544869.24000000011</v>
      </c>
      <c r="O12" s="133">
        <f t="shared" si="4"/>
        <v>36324.616000000009</v>
      </c>
      <c r="P12" s="133">
        <v>253317.6</v>
      </c>
      <c r="Q12" s="108">
        <f t="shared" si="5"/>
        <v>42219.6</v>
      </c>
      <c r="R12" s="133">
        <f t="shared" si="6"/>
        <v>834511.45600000012</v>
      </c>
    </row>
    <row r="13" spans="2:19" ht="20.25" customHeight="1">
      <c r="B13" s="416">
        <v>10</v>
      </c>
      <c r="C13" s="994">
        <v>15</v>
      </c>
      <c r="D13" s="107">
        <v>36883.46</v>
      </c>
      <c r="E13" s="905">
        <f t="shared" si="0"/>
        <v>553251.9</v>
      </c>
      <c r="F13" s="108">
        <f t="shared" si="7"/>
        <v>6</v>
      </c>
      <c r="G13" s="448">
        <v>37153.25</v>
      </c>
      <c r="H13" s="133">
        <f t="shared" si="1"/>
        <v>222919.5</v>
      </c>
      <c r="I13" s="994">
        <f t="shared" si="2"/>
        <v>21</v>
      </c>
      <c r="J13" s="907">
        <f t="shared" si="3"/>
        <v>776171.4</v>
      </c>
      <c r="K13" s="109"/>
      <c r="L13" s="109"/>
      <c r="M13" s="133"/>
      <c r="N13" s="108">
        <v>544869.24000000011</v>
      </c>
      <c r="O13" s="133">
        <f t="shared" si="4"/>
        <v>36324.616000000009</v>
      </c>
      <c r="P13" s="133">
        <v>253317.6</v>
      </c>
      <c r="Q13" s="108">
        <f t="shared" si="5"/>
        <v>42219.6</v>
      </c>
      <c r="R13" s="133">
        <f t="shared" si="6"/>
        <v>834511.45600000012</v>
      </c>
    </row>
    <row r="14" spans="2:19" ht="20.25" customHeight="1">
      <c r="B14" s="416">
        <v>11</v>
      </c>
      <c r="C14" s="994">
        <v>15</v>
      </c>
      <c r="D14" s="107">
        <v>36883.46</v>
      </c>
      <c r="E14" s="905">
        <f t="shared" si="0"/>
        <v>553251.9</v>
      </c>
      <c r="F14" s="108">
        <f t="shared" si="7"/>
        <v>6</v>
      </c>
      <c r="G14" s="448">
        <v>37153.25</v>
      </c>
      <c r="H14" s="133">
        <f t="shared" si="1"/>
        <v>222919.5</v>
      </c>
      <c r="I14" s="994">
        <f t="shared" si="2"/>
        <v>21</v>
      </c>
      <c r="J14" s="907">
        <f t="shared" si="3"/>
        <v>776171.4</v>
      </c>
      <c r="K14" s="109"/>
      <c r="L14" s="109"/>
      <c r="M14" s="133"/>
      <c r="N14" s="108">
        <v>544869.24000000011</v>
      </c>
      <c r="O14" s="133">
        <f t="shared" si="4"/>
        <v>36324.616000000009</v>
      </c>
      <c r="P14" s="133">
        <v>253317.6</v>
      </c>
      <c r="Q14" s="108">
        <f t="shared" si="5"/>
        <v>42219.6</v>
      </c>
      <c r="R14" s="133">
        <f t="shared" si="6"/>
        <v>834511.45600000012</v>
      </c>
    </row>
    <row r="15" spans="2:19" ht="20.25" customHeight="1">
      <c r="B15" s="416">
        <v>12</v>
      </c>
      <c r="C15" s="994">
        <v>15</v>
      </c>
      <c r="D15" s="107">
        <v>36883.46</v>
      </c>
      <c r="E15" s="905">
        <f t="shared" si="0"/>
        <v>553251.9</v>
      </c>
      <c r="F15" s="108">
        <f t="shared" si="7"/>
        <v>6</v>
      </c>
      <c r="G15" s="448">
        <v>37153.25</v>
      </c>
      <c r="H15" s="133">
        <f t="shared" si="1"/>
        <v>222919.5</v>
      </c>
      <c r="I15" s="994">
        <f t="shared" si="2"/>
        <v>21</v>
      </c>
      <c r="J15" s="907">
        <f t="shared" si="3"/>
        <v>776171.4</v>
      </c>
      <c r="K15" s="109"/>
      <c r="M15" s="133"/>
      <c r="N15" s="108">
        <v>544869.24000000011</v>
      </c>
      <c r="O15" s="133">
        <f t="shared" si="4"/>
        <v>36324.616000000009</v>
      </c>
      <c r="P15" s="133">
        <v>253317.6</v>
      </c>
      <c r="Q15" s="108">
        <f t="shared" si="5"/>
        <v>42219.6</v>
      </c>
      <c r="R15" s="133">
        <f t="shared" si="6"/>
        <v>834511.45600000012</v>
      </c>
    </row>
    <row r="16" spans="2:19" ht="20.25" customHeight="1">
      <c r="B16" s="416">
        <v>13</v>
      </c>
      <c r="C16" s="903">
        <v>15</v>
      </c>
      <c r="D16" s="107">
        <v>36883.46</v>
      </c>
      <c r="E16" s="905">
        <f t="shared" si="0"/>
        <v>553251.9</v>
      </c>
      <c r="F16" s="108">
        <f t="shared" si="7"/>
        <v>6</v>
      </c>
      <c r="G16" s="448">
        <v>37153.25</v>
      </c>
      <c r="H16" s="133">
        <f t="shared" si="1"/>
        <v>222919.5</v>
      </c>
      <c r="I16" s="903">
        <f t="shared" si="2"/>
        <v>21</v>
      </c>
      <c r="J16" s="907">
        <f t="shared" si="3"/>
        <v>776171.4</v>
      </c>
      <c r="K16" s="109"/>
      <c r="L16" s="109"/>
      <c r="M16" s="133"/>
      <c r="N16" s="108">
        <v>544869.24000000011</v>
      </c>
      <c r="O16" s="133">
        <f t="shared" si="4"/>
        <v>36324.616000000009</v>
      </c>
      <c r="P16" s="133">
        <v>253317.6</v>
      </c>
      <c r="Q16" s="108">
        <f t="shared" si="5"/>
        <v>42219.6</v>
      </c>
      <c r="R16" s="133">
        <f t="shared" si="6"/>
        <v>834511.45600000012</v>
      </c>
    </row>
    <row r="17" spans="2:18" ht="20.25" customHeight="1">
      <c r="B17" s="416">
        <v>14</v>
      </c>
      <c r="C17" s="903">
        <f t="shared" ref="C17:C33" si="8">C16</f>
        <v>15</v>
      </c>
      <c r="D17" s="107">
        <v>36883.46</v>
      </c>
      <c r="E17" s="905">
        <f t="shared" si="0"/>
        <v>553251.9</v>
      </c>
      <c r="F17" s="108">
        <f t="shared" si="7"/>
        <v>6</v>
      </c>
      <c r="G17" s="448">
        <v>37153.25</v>
      </c>
      <c r="H17" s="133">
        <f t="shared" si="1"/>
        <v>222919.5</v>
      </c>
      <c r="I17" s="903">
        <f t="shared" si="2"/>
        <v>21</v>
      </c>
      <c r="J17" s="907">
        <f t="shared" si="3"/>
        <v>776171.4</v>
      </c>
      <c r="K17" s="109"/>
      <c r="L17" s="109"/>
      <c r="M17" s="133"/>
      <c r="N17" s="108">
        <v>544869.24000000011</v>
      </c>
      <c r="O17" s="133">
        <f t="shared" si="4"/>
        <v>36324.616000000009</v>
      </c>
      <c r="P17" s="133">
        <v>253317.6</v>
      </c>
      <c r="Q17" s="108">
        <f t="shared" si="5"/>
        <v>42219.6</v>
      </c>
      <c r="R17" s="133">
        <f t="shared" si="6"/>
        <v>834511.45600000012</v>
      </c>
    </row>
    <row r="18" spans="2:18" ht="20.25" customHeight="1">
      <c r="B18" s="416">
        <v>15</v>
      </c>
      <c r="C18" s="903">
        <f t="shared" si="8"/>
        <v>15</v>
      </c>
      <c r="D18" s="107">
        <v>36883.46</v>
      </c>
      <c r="E18" s="905">
        <f t="shared" si="0"/>
        <v>553251.9</v>
      </c>
      <c r="F18" s="108">
        <f t="shared" si="7"/>
        <v>6</v>
      </c>
      <c r="G18" s="448">
        <v>37153.25</v>
      </c>
      <c r="H18" s="133">
        <f t="shared" si="1"/>
        <v>222919.5</v>
      </c>
      <c r="I18" s="903">
        <f t="shared" si="2"/>
        <v>21</v>
      </c>
      <c r="J18" s="907">
        <f t="shared" si="3"/>
        <v>776171.4</v>
      </c>
      <c r="K18" s="109"/>
      <c r="L18" s="109"/>
      <c r="M18" s="133"/>
      <c r="N18" s="108">
        <v>544869.24000000011</v>
      </c>
      <c r="O18" s="133">
        <f t="shared" si="4"/>
        <v>36324.616000000009</v>
      </c>
      <c r="P18" s="133">
        <v>253317.6</v>
      </c>
      <c r="Q18" s="108">
        <f t="shared" si="5"/>
        <v>42219.6</v>
      </c>
      <c r="R18" s="133">
        <f t="shared" si="6"/>
        <v>834511.45600000012</v>
      </c>
    </row>
    <row r="19" spans="2:18" ht="20.25" customHeight="1">
      <c r="B19" s="416">
        <v>16</v>
      </c>
      <c r="C19" s="903">
        <f t="shared" si="8"/>
        <v>15</v>
      </c>
      <c r="D19" s="107">
        <v>36883.46</v>
      </c>
      <c r="E19" s="905">
        <f t="shared" si="0"/>
        <v>553251.9</v>
      </c>
      <c r="F19" s="108">
        <f t="shared" si="7"/>
        <v>6</v>
      </c>
      <c r="G19" s="448">
        <v>37153.25</v>
      </c>
      <c r="H19" s="133">
        <f t="shared" si="1"/>
        <v>222919.5</v>
      </c>
      <c r="I19" s="903">
        <f t="shared" si="2"/>
        <v>21</v>
      </c>
      <c r="J19" s="907">
        <f t="shared" si="3"/>
        <v>776171.4</v>
      </c>
      <c r="K19" s="109"/>
      <c r="L19" s="109"/>
      <c r="M19" s="133"/>
      <c r="N19" s="108">
        <v>544869.24000000011</v>
      </c>
      <c r="O19" s="133">
        <f t="shared" si="4"/>
        <v>36324.616000000009</v>
      </c>
      <c r="P19" s="133">
        <v>253317.6</v>
      </c>
      <c r="Q19" s="108">
        <f t="shared" si="5"/>
        <v>42219.6</v>
      </c>
      <c r="R19" s="133">
        <f t="shared" si="6"/>
        <v>834511.45600000012</v>
      </c>
    </row>
    <row r="20" spans="2:18" ht="20.25" customHeight="1">
      <c r="B20" s="416">
        <v>17</v>
      </c>
      <c r="C20" s="903">
        <f t="shared" si="8"/>
        <v>15</v>
      </c>
      <c r="D20" s="107">
        <v>36883.46</v>
      </c>
      <c r="E20" s="905">
        <f t="shared" si="0"/>
        <v>553251.9</v>
      </c>
      <c r="F20" s="108">
        <f t="shared" si="7"/>
        <v>6</v>
      </c>
      <c r="G20" s="448">
        <v>37153.25</v>
      </c>
      <c r="H20" s="133">
        <f t="shared" si="1"/>
        <v>222919.5</v>
      </c>
      <c r="I20" s="903">
        <f t="shared" si="2"/>
        <v>21</v>
      </c>
      <c r="J20" s="907">
        <f t="shared" si="3"/>
        <v>776171.4</v>
      </c>
      <c r="K20" s="109"/>
      <c r="L20" s="109"/>
      <c r="M20" s="133"/>
      <c r="N20" s="108">
        <v>544869.24000000011</v>
      </c>
      <c r="O20" s="133">
        <f t="shared" si="4"/>
        <v>36324.616000000009</v>
      </c>
      <c r="P20" s="133">
        <v>253317.6</v>
      </c>
      <c r="Q20" s="108">
        <f t="shared" si="5"/>
        <v>42219.6</v>
      </c>
      <c r="R20" s="133">
        <f t="shared" si="6"/>
        <v>834511.45600000012</v>
      </c>
    </row>
    <row r="21" spans="2:18" ht="20.25" customHeight="1">
      <c r="B21" s="416">
        <v>18</v>
      </c>
      <c r="C21" s="903">
        <f t="shared" si="8"/>
        <v>15</v>
      </c>
      <c r="D21" s="107">
        <v>36883.46</v>
      </c>
      <c r="E21" s="905">
        <f t="shared" si="0"/>
        <v>553251.9</v>
      </c>
      <c r="F21" s="108">
        <f t="shared" si="7"/>
        <v>6</v>
      </c>
      <c r="G21" s="448">
        <v>37153.25</v>
      </c>
      <c r="H21" s="133">
        <f t="shared" si="1"/>
        <v>222919.5</v>
      </c>
      <c r="I21" s="903">
        <f t="shared" si="2"/>
        <v>21</v>
      </c>
      <c r="J21" s="907">
        <f t="shared" si="3"/>
        <v>776171.4</v>
      </c>
      <c r="K21" s="109"/>
      <c r="L21" s="109"/>
      <c r="M21" s="133"/>
      <c r="N21" s="108">
        <v>544869.24000000011</v>
      </c>
      <c r="O21" s="133">
        <f t="shared" si="4"/>
        <v>36324.616000000009</v>
      </c>
      <c r="P21" s="133">
        <v>253317.6</v>
      </c>
      <c r="Q21" s="108">
        <f t="shared" si="5"/>
        <v>42219.6</v>
      </c>
      <c r="R21" s="133">
        <f t="shared" si="6"/>
        <v>834511.45600000012</v>
      </c>
    </row>
    <row r="22" spans="2:18" s="89" customFormat="1" ht="20.25" customHeight="1">
      <c r="B22" s="416">
        <v>19</v>
      </c>
      <c r="C22" s="903">
        <f t="shared" si="8"/>
        <v>15</v>
      </c>
      <c r="D22" s="107">
        <v>36883.46</v>
      </c>
      <c r="E22" s="905">
        <f t="shared" si="0"/>
        <v>553251.9</v>
      </c>
      <c r="F22" s="108">
        <f t="shared" si="7"/>
        <v>6</v>
      </c>
      <c r="G22" s="448">
        <v>37153.25</v>
      </c>
      <c r="H22" s="133">
        <f t="shared" si="1"/>
        <v>222919.5</v>
      </c>
      <c r="I22" s="903">
        <f t="shared" si="2"/>
        <v>21</v>
      </c>
      <c r="J22" s="907">
        <f t="shared" si="3"/>
        <v>776171.4</v>
      </c>
      <c r="K22" s="109"/>
      <c r="L22" s="109"/>
      <c r="M22" s="133"/>
      <c r="N22" s="108">
        <v>544869.24000000011</v>
      </c>
      <c r="O22" s="133">
        <f t="shared" si="4"/>
        <v>36324.616000000009</v>
      </c>
      <c r="P22" s="133">
        <v>253317.6</v>
      </c>
      <c r="Q22" s="108">
        <f t="shared" si="5"/>
        <v>42219.6</v>
      </c>
      <c r="R22" s="133">
        <f t="shared" si="6"/>
        <v>834511.45600000012</v>
      </c>
    </row>
    <row r="23" spans="2:18" ht="20.25" customHeight="1">
      <c r="B23" s="416">
        <v>20</v>
      </c>
      <c r="C23" s="903">
        <f t="shared" si="8"/>
        <v>15</v>
      </c>
      <c r="D23" s="107">
        <v>36883.46</v>
      </c>
      <c r="E23" s="905">
        <f t="shared" si="0"/>
        <v>553251.9</v>
      </c>
      <c r="F23" s="108">
        <f t="shared" si="7"/>
        <v>6</v>
      </c>
      <c r="G23" s="448">
        <v>37153.25</v>
      </c>
      <c r="H23" s="133">
        <f t="shared" si="1"/>
        <v>222919.5</v>
      </c>
      <c r="I23" s="903">
        <f t="shared" si="2"/>
        <v>21</v>
      </c>
      <c r="J23" s="907">
        <f t="shared" si="3"/>
        <v>776171.4</v>
      </c>
      <c r="K23" s="109"/>
      <c r="L23" s="109"/>
      <c r="M23" s="133"/>
      <c r="N23" s="108">
        <v>544869.24000000011</v>
      </c>
      <c r="O23" s="133">
        <f t="shared" si="4"/>
        <v>36324.616000000009</v>
      </c>
      <c r="P23" s="133">
        <v>253317.6</v>
      </c>
      <c r="Q23" s="108">
        <f t="shared" si="5"/>
        <v>42219.6</v>
      </c>
      <c r="R23" s="133">
        <f t="shared" si="6"/>
        <v>834511.45600000012</v>
      </c>
    </row>
    <row r="24" spans="2:18" ht="20.25" customHeight="1">
      <c r="B24" s="416">
        <v>21</v>
      </c>
      <c r="C24" s="903">
        <f t="shared" si="8"/>
        <v>15</v>
      </c>
      <c r="D24" s="107">
        <v>36883.46</v>
      </c>
      <c r="E24" s="905">
        <f t="shared" si="0"/>
        <v>553251.9</v>
      </c>
      <c r="F24" s="108">
        <f t="shared" si="7"/>
        <v>6</v>
      </c>
      <c r="G24" s="448">
        <v>37153.25</v>
      </c>
      <c r="H24" s="133">
        <f t="shared" si="1"/>
        <v>222919.5</v>
      </c>
      <c r="I24" s="903">
        <f t="shared" si="2"/>
        <v>21</v>
      </c>
      <c r="J24" s="907">
        <f t="shared" si="3"/>
        <v>776171.4</v>
      </c>
      <c r="K24" s="109"/>
      <c r="L24" s="109"/>
      <c r="M24" s="133"/>
      <c r="N24" s="108">
        <v>544869.24000000011</v>
      </c>
      <c r="O24" s="133">
        <f t="shared" si="4"/>
        <v>36324.616000000009</v>
      </c>
      <c r="P24" s="133">
        <v>253317.6</v>
      </c>
      <c r="Q24" s="108">
        <f t="shared" si="5"/>
        <v>42219.6</v>
      </c>
      <c r="R24" s="133">
        <f t="shared" si="6"/>
        <v>834511.45600000012</v>
      </c>
    </row>
    <row r="25" spans="2:18" ht="20.25" customHeight="1">
      <c r="B25" s="416">
        <v>22</v>
      </c>
      <c r="C25" s="903">
        <f t="shared" si="8"/>
        <v>15</v>
      </c>
      <c r="D25" s="107">
        <v>36883.46</v>
      </c>
      <c r="E25" s="905">
        <f t="shared" si="0"/>
        <v>553251.9</v>
      </c>
      <c r="F25" s="108">
        <f t="shared" si="7"/>
        <v>6</v>
      </c>
      <c r="G25" s="448">
        <v>37153.25</v>
      </c>
      <c r="H25" s="133">
        <f t="shared" si="1"/>
        <v>222919.5</v>
      </c>
      <c r="I25" s="903">
        <f t="shared" si="2"/>
        <v>21</v>
      </c>
      <c r="J25" s="907">
        <f t="shared" si="3"/>
        <v>776171.4</v>
      </c>
      <c r="K25" s="109"/>
      <c r="L25" s="109"/>
      <c r="M25" s="133"/>
      <c r="N25" s="108">
        <v>544869.24000000011</v>
      </c>
      <c r="O25" s="133">
        <f t="shared" si="4"/>
        <v>36324.616000000009</v>
      </c>
      <c r="P25" s="133">
        <v>253317.6</v>
      </c>
      <c r="Q25" s="108">
        <f t="shared" si="5"/>
        <v>42219.6</v>
      </c>
      <c r="R25" s="133">
        <f t="shared" si="6"/>
        <v>834511.45600000012</v>
      </c>
    </row>
    <row r="26" spans="2:18" s="89" customFormat="1" ht="20.25" customHeight="1">
      <c r="B26" s="416">
        <v>23</v>
      </c>
      <c r="C26" s="903">
        <f t="shared" si="8"/>
        <v>15</v>
      </c>
      <c r="D26" s="107">
        <v>36883.46</v>
      </c>
      <c r="E26" s="905">
        <f t="shared" si="0"/>
        <v>553251.9</v>
      </c>
      <c r="F26" s="108">
        <f t="shared" si="7"/>
        <v>6</v>
      </c>
      <c r="G26" s="448">
        <v>37153.25</v>
      </c>
      <c r="H26" s="133">
        <f t="shared" si="1"/>
        <v>222919.5</v>
      </c>
      <c r="I26" s="903">
        <f t="shared" si="2"/>
        <v>21</v>
      </c>
      <c r="J26" s="907">
        <f t="shared" si="3"/>
        <v>776171.4</v>
      </c>
      <c r="K26" s="109"/>
      <c r="L26" s="109"/>
      <c r="M26" s="133"/>
      <c r="N26" s="108">
        <v>544869.24000000011</v>
      </c>
      <c r="O26" s="133">
        <f t="shared" si="4"/>
        <v>36324.616000000009</v>
      </c>
      <c r="P26" s="133">
        <v>253317.6</v>
      </c>
      <c r="Q26" s="108">
        <f t="shared" si="5"/>
        <v>42219.6</v>
      </c>
      <c r="R26" s="133">
        <f t="shared" si="6"/>
        <v>834511.45600000012</v>
      </c>
    </row>
    <row r="27" spans="2:18" s="89" customFormat="1" ht="20.25" customHeight="1">
      <c r="B27" s="416">
        <v>24</v>
      </c>
      <c r="C27" s="903">
        <f t="shared" si="8"/>
        <v>15</v>
      </c>
      <c r="D27" s="107">
        <v>36883.46</v>
      </c>
      <c r="E27" s="905">
        <f t="shared" si="0"/>
        <v>553251.9</v>
      </c>
      <c r="F27" s="108">
        <f t="shared" si="7"/>
        <v>6</v>
      </c>
      <c r="G27" s="448">
        <v>37153.25</v>
      </c>
      <c r="H27" s="133">
        <f t="shared" si="1"/>
        <v>222919.5</v>
      </c>
      <c r="I27" s="903">
        <f t="shared" si="2"/>
        <v>21</v>
      </c>
      <c r="J27" s="907">
        <f t="shared" si="3"/>
        <v>776171.4</v>
      </c>
      <c r="K27" s="109"/>
      <c r="L27" s="109"/>
      <c r="M27" s="133"/>
      <c r="N27" s="108">
        <v>544869.24000000011</v>
      </c>
      <c r="O27" s="133">
        <f t="shared" si="4"/>
        <v>36324.616000000009</v>
      </c>
      <c r="P27" s="133">
        <v>253317.6</v>
      </c>
      <c r="Q27" s="108">
        <f t="shared" si="5"/>
        <v>42219.6</v>
      </c>
      <c r="R27" s="133">
        <f t="shared" si="6"/>
        <v>834511.45600000012</v>
      </c>
    </row>
    <row r="28" spans="2:18" ht="20.25" customHeight="1">
      <c r="B28" s="416">
        <v>25</v>
      </c>
      <c r="C28" s="903">
        <f t="shared" si="8"/>
        <v>15</v>
      </c>
      <c r="D28" s="107">
        <v>36883.46</v>
      </c>
      <c r="E28" s="905">
        <f t="shared" si="0"/>
        <v>553251.9</v>
      </c>
      <c r="F28" s="108">
        <f t="shared" si="7"/>
        <v>6</v>
      </c>
      <c r="G28" s="448">
        <v>37153.25</v>
      </c>
      <c r="H28" s="133">
        <f t="shared" si="1"/>
        <v>222919.5</v>
      </c>
      <c r="I28" s="903">
        <f t="shared" si="2"/>
        <v>21</v>
      </c>
      <c r="J28" s="907">
        <f t="shared" si="3"/>
        <v>776171.4</v>
      </c>
      <c r="K28" s="109"/>
      <c r="L28" s="109"/>
      <c r="M28" s="133"/>
      <c r="N28" s="108">
        <v>544869.24000000011</v>
      </c>
      <c r="O28" s="133">
        <f t="shared" si="4"/>
        <v>36324.616000000009</v>
      </c>
      <c r="P28" s="133">
        <v>253317.6</v>
      </c>
      <c r="Q28" s="108">
        <f t="shared" si="5"/>
        <v>42219.6</v>
      </c>
      <c r="R28" s="133">
        <f t="shared" si="6"/>
        <v>834511.45600000012</v>
      </c>
    </row>
    <row r="29" spans="2:18" ht="20.25" customHeight="1">
      <c r="B29" s="416">
        <v>26</v>
      </c>
      <c r="C29" s="903">
        <f t="shared" si="8"/>
        <v>15</v>
      </c>
      <c r="D29" s="107">
        <v>36883.46</v>
      </c>
      <c r="E29" s="905">
        <f t="shared" si="0"/>
        <v>553251.9</v>
      </c>
      <c r="F29" s="108">
        <f t="shared" si="7"/>
        <v>6</v>
      </c>
      <c r="G29" s="448">
        <v>37153.25</v>
      </c>
      <c r="H29" s="133">
        <f t="shared" si="1"/>
        <v>222919.5</v>
      </c>
      <c r="I29" s="903">
        <f t="shared" si="2"/>
        <v>21</v>
      </c>
      <c r="J29" s="907">
        <f t="shared" si="3"/>
        <v>776171.4</v>
      </c>
      <c r="K29" s="109"/>
      <c r="L29" s="109"/>
      <c r="M29" s="133"/>
      <c r="N29" s="108">
        <v>544869.24000000011</v>
      </c>
      <c r="O29" s="133">
        <f t="shared" si="4"/>
        <v>36324.616000000009</v>
      </c>
      <c r="P29" s="133">
        <v>253317.6</v>
      </c>
      <c r="Q29" s="108">
        <f>P29/F29</f>
        <v>42219.6</v>
      </c>
      <c r="R29" s="133">
        <f t="shared" si="6"/>
        <v>834511.45600000012</v>
      </c>
    </row>
    <row r="30" spans="2:18" ht="20.25" customHeight="1">
      <c r="B30" s="416">
        <v>27</v>
      </c>
      <c r="C30" s="903">
        <f t="shared" si="8"/>
        <v>15</v>
      </c>
      <c r="D30" s="107">
        <v>36883.46</v>
      </c>
      <c r="E30" s="905">
        <f t="shared" si="0"/>
        <v>553251.9</v>
      </c>
      <c r="F30" s="108">
        <f t="shared" si="7"/>
        <v>6</v>
      </c>
      <c r="G30" s="448">
        <v>37153.25</v>
      </c>
      <c r="H30" s="133">
        <f t="shared" si="1"/>
        <v>222919.5</v>
      </c>
      <c r="I30" s="903">
        <f t="shared" si="2"/>
        <v>21</v>
      </c>
      <c r="J30" s="907">
        <f t="shared" si="3"/>
        <v>776171.4</v>
      </c>
      <c r="K30" s="109"/>
      <c r="L30" s="109"/>
      <c r="M30" s="133"/>
      <c r="N30" s="108">
        <v>544869.24000000011</v>
      </c>
      <c r="O30" s="133">
        <f t="shared" si="4"/>
        <v>36324.616000000009</v>
      </c>
      <c r="P30" s="133">
        <v>253317.6</v>
      </c>
      <c r="Q30" s="108">
        <f t="shared" si="5"/>
        <v>42219.6</v>
      </c>
      <c r="R30" s="133">
        <f t="shared" si="6"/>
        <v>834511.45600000012</v>
      </c>
    </row>
    <row r="31" spans="2:18" ht="20.25" customHeight="1">
      <c r="B31" s="416">
        <v>28</v>
      </c>
      <c r="C31" s="903">
        <f t="shared" si="8"/>
        <v>15</v>
      </c>
      <c r="D31" s="107">
        <v>36883.46</v>
      </c>
      <c r="E31" s="905">
        <f t="shared" si="0"/>
        <v>553251.9</v>
      </c>
      <c r="F31" s="108">
        <f t="shared" si="7"/>
        <v>6</v>
      </c>
      <c r="G31" s="448">
        <v>37153.25</v>
      </c>
      <c r="H31" s="133">
        <f t="shared" si="1"/>
        <v>222919.5</v>
      </c>
      <c r="I31" s="903">
        <f t="shared" si="2"/>
        <v>21</v>
      </c>
      <c r="J31" s="907">
        <f t="shared" si="3"/>
        <v>776171.4</v>
      </c>
      <c r="K31" s="109"/>
      <c r="L31" s="109"/>
      <c r="M31" s="133"/>
      <c r="N31" s="108">
        <v>544869.24000000011</v>
      </c>
      <c r="O31" s="133">
        <f t="shared" si="4"/>
        <v>36324.616000000009</v>
      </c>
      <c r="P31" s="133">
        <v>253317.6</v>
      </c>
      <c r="Q31" s="108">
        <f t="shared" si="5"/>
        <v>42219.6</v>
      </c>
      <c r="R31" s="133">
        <f t="shared" si="6"/>
        <v>834511.45600000012</v>
      </c>
    </row>
    <row r="32" spans="2:18" ht="20.25" customHeight="1">
      <c r="B32" s="416">
        <v>29</v>
      </c>
      <c r="C32" s="903">
        <f t="shared" si="8"/>
        <v>15</v>
      </c>
      <c r="D32" s="107">
        <v>36883.46</v>
      </c>
      <c r="E32" s="905">
        <f t="shared" si="0"/>
        <v>553251.9</v>
      </c>
      <c r="F32" s="108">
        <f t="shared" si="7"/>
        <v>6</v>
      </c>
      <c r="G32" s="448">
        <v>37153.25</v>
      </c>
      <c r="H32" s="133">
        <f t="shared" si="1"/>
        <v>222919.5</v>
      </c>
      <c r="I32" s="903">
        <f t="shared" si="2"/>
        <v>21</v>
      </c>
      <c r="J32" s="907">
        <f t="shared" si="3"/>
        <v>776171.4</v>
      </c>
      <c r="K32" s="109"/>
      <c r="L32" s="109"/>
      <c r="M32" s="133"/>
      <c r="N32" s="108">
        <v>544869.24000000011</v>
      </c>
      <c r="O32" s="133">
        <f t="shared" si="4"/>
        <v>36324.616000000009</v>
      </c>
      <c r="P32" s="133">
        <v>253317.6</v>
      </c>
      <c r="Q32" s="108">
        <f t="shared" si="5"/>
        <v>42219.6</v>
      </c>
      <c r="R32" s="133">
        <f t="shared" si="6"/>
        <v>834511.45600000012</v>
      </c>
    </row>
    <row r="33" spans="2:18" ht="20.25" customHeight="1" thickBot="1">
      <c r="B33" s="417">
        <v>30</v>
      </c>
      <c r="C33" s="904">
        <f t="shared" si="8"/>
        <v>15</v>
      </c>
      <c r="D33" s="369">
        <v>36883.46</v>
      </c>
      <c r="E33" s="906">
        <f>D33*C33</f>
        <v>553251.9</v>
      </c>
      <c r="F33" s="370">
        <f t="shared" si="7"/>
        <v>6</v>
      </c>
      <c r="G33" s="380">
        <v>37153.25</v>
      </c>
      <c r="H33" s="418">
        <f t="shared" si="1"/>
        <v>222919.5</v>
      </c>
      <c r="I33" s="904">
        <f t="shared" si="2"/>
        <v>21</v>
      </c>
      <c r="J33" s="908">
        <f t="shared" si="3"/>
        <v>776171.4</v>
      </c>
      <c r="K33" s="109"/>
      <c r="L33" s="109"/>
      <c r="M33" s="133"/>
      <c r="N33" s="108">
        <v>544869.24000000011</v>
      </c>
      <c r="O33" s="133">
        <f t="shared" si="4"/>
        <v>36324.616000000009</v>
      </c>
      <c r="P33" s="133">
        <v>253317.6</v>
      </c>
      <c r="Q33" s="108">
        <f t="shared" si="5"/>
        <v>42219.6</v>
      </c>
      <c r="R33" s="133">
        <f t="shared" si="6"/>
        <v>834511.45600000012</v>
      </c>
    </row>
    <row r="34" spans="2:18" ht="15">
      <c r="I34" s="136"/>
      <c r="J34" s="983">
        <f>SUM(J4:J33)</f>
        <v>22974264.289999995</v>
      </c>
      <c r="N34" s="110">
        <f>SUM(N4:N33)</f>
        <v>16213557.360000005</v>
      </c>
      <c r="P34" s="110">
        <f>SUM(P4:P33)</f>
        <v>7599527.9999999963</v>
      </c>
      <c r="R34" s="110">
        <f>SUM(R4:R33)</f>
        <v>24949750.673727278</v>
      </c>
    </row>
    <row r="35" spans="2:18">
      <c r="E35" s="135">
        <f>SUM(E4:E33)</f>
        <v>16472445.540000008</v>
      </c>
      <c r="H35" s="135">
        <f>SUM(H4:H33)</f>
        <v>6501818.75</v>
      </c>
      <c r="J35" s="545">
        <f>E35+H35</f>
        <v>22974264.290000007</v>
      </c>
      <c r="K35" s="137"/>
      <c r="L35" s="137"/>
    </row>
    <row r="40" spans="2:18">
      <c r="J40" s="545">
        <v>20955515.116799995</v>
      </c>
    </row>
    <row r="42" spans="2:18">
      <c r="J42" s="984">
        <f>J35-J40</f>
        <v>2018749.1732000113</v>
      </c>
    </row>
    <row r="43" spans="2:18">
      <c r="J43" s="985">
        <f>J42/J35</f>
        <v>8.7870024812011546E-2</v>
      </c>
    </row>
  </sheetData>
  <mergeCells count="16">
    <mergeCell ref="P2:P3"/>
    <mergeCell ref="Q2:Q3"/>
    <mergeCell ref="R2:R3"/>
    <mergeCell ref="M2:M3"/>
    <mergeCell ref="N2:N3"/>
    <mergeCell ref="O2:O3"/>
    <mergeCell ref="B1:J1"/>
    <mergeCell ref="J2:J3"/>
    <mergeCell ref="B2:B3"/>
    <mergeCell ref="G2:G3"/>
    <mergeCell ref="H2:H3"/>
    <mergeCell ref="I2:I3"/>
    <mergeCell ref="C2:C3"/>
    <mergeCell ref="D2:D3"/>
    <mergeCell ref="E2:E3"/>
    <mergeCell ref="F2:F3"/>
  </mergeCells>
  <phoneticPr fontId="12" type="noConversion"/>
  <printOptions horizontalCentered="1"/>
  <pageMargins left="0.98425196850393704" right="0.59055118110236227" top="1.9685039370078741" bottom="1.0629921259842521" header="0.39370078740157483" footer="0.39370078740157483"/>
  <pageSetup paperSize="9" scale="56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41">
    <tabColor rgb="FF00B050"/>
  </sheetPr>
  <dimension ref="B1:AT37"/>
  <sheetViews>
    <sheetView topLeftCell="D1" zoomScale="80" zoomScaleNormal="80" workbookViewId="0">
      <selection activeCell="B20" sqref="B20"/>
    </sheetView>
  </sheetViews>
  <sheetFormatPr defaultColWidth="11.5703125" defaultRowHeight="12.75"/>
  <cols>
    <col min="1" max="1" width="2.7109375" style="389" customWidth="1"/>
    <col min="2" max="2" width="7.42578125" style="389" customWidth="1"/>
    <col min="3" max="8" width="18.42578125" style="389" customWidth="1"/>
    <col min="9" max="9" width="2.7109375" style="389" customWidth="1"/>
    <col min="10" max="10" width="12.7109375" style="389" customWidth="1"/>
    <col min="11" max="11" width="2.85546875" style="389" customWidth="1"/>
    <col min="12" max="14" width="8.7109375" style="400" customWidth="1"/>
    <col min="15" max="15" width="2.85546875" style="389" customWidth="1"/>
    <col min="16" max="16" width="10.85546875" style="389" bestFit="1" customWidth="1"/>
    <col min="17" max="17" width="9.5703125" style="389" bestFit="1" customWidth="1"/>
    <col min="18" max="18" width="2.7109375" style="389" customWidth="1"/>
    <col min="19" max="19" width="14.5703125" style="389" customWidth="1"/>
    <col min="20" max="23" width="12.42578125" style="389" bestFit="1" customWidth="1"/>
    <col min="24" max="25" width="10.85546875" style="389" bestFit="1" customWidth="1"/>
    <col min="26" max="46" width="12.42578125" style="389" bestFit="1" customWidth="1"/>
    <col min="47" max="16384" width="11.5703125" style="389"/>
  </cols>
  <sheetData>
    <row r="1" spans="2:46" s="387" customFormat="1" ht="18.75" thickBot="1">
      <c r="B1" s="1271" t="s">
        <v>49</v>
      </c>
      <c r="C1" s="1271"/>
      <c r="D1" s="1271"/>
      <c r="E1" s="1271"/>
      <c r="F1" s="1271"/>
      <c r="G1" s="1271"/>
      <c r="H1" s="1271"/>
      <c r="I1" s="530"/>
      <c r="J1" s="530"/>
      <c r="K1" s="530"/>
      <c r="L1" s="548"/>
      <c r="M1" s="548"/>
      <c r="N1" s="548"/>
      <c r="T1" s="388" t="s">
        <v>99</v>
      </c>
      <c r="U1" s="553">
        <v>0.29485153234649114</v>
      </c>
    </row>
    <row r="2" spans="2:46" ht="15.75" thickBot="1">
      <c r="B2" s="1272" t="s">
        <v>1</v>
      </c>
      <c r="C2" s="1274" t="s">
        <v>33</v>
      </c>
      <c r="D2" s="1275"/>
      <c r="E2" s="1274" t="s">
        <v>34</v>
      </c>
      <c r="F2" s="1275"/>
      <c r="G2" s="1274" t="s">
        <v>35</v>
      </c>
      <c r="H2" s="1275"/>
      <c r="I2" s="546"/>
      <c r="J2" s="546"/>
      <c r="K2" s="546"/>
      <c r="S2" s="390">
        <v>1</v>
      </c>
    </row>
    <row r="3" spans="2:46" s="396" customFormat="1" ht="30.75" thickBot="1">
      <c r="B3" s="1273"/>
      <c r="C3" s="402" t="s">
        <v>22</v>
      </c>
      <c r="D3" s="403" t="s">
        <v>4</v>
      </c>
      <c r="E3" s="403" t="s">
        <v>22</v>
      </c>
      <c r="F3" s="403" t="s">
        <v>4</v>
      </c>
      <c r="G3" s="403" t="s">
        <v>22</v>
      </c>
      <c r="H3" s="403" t="s">
        <v>4</v>
      </c>
      <c r="I3" s="546"/>
      <c r="J3" s="546"/>
      <c r="K3" s="546"/>
      <c r="L3" s="549"/>
      <c r="M3" s="550"/>
      <c r="N3" s="550"/>
      <c r="O3" s="392"/>
      <c r="P3" s="392" t="s">
        <v>402</v>
      </c>
      <c r="Q3" s="558">
        <f>(Q4+Q5+Q6)/3</f>
        <v>0.46084237470355366</v>
      </c>
      <c r="R3" s="551"/>
      <c r="S3" s="391" t="s">
        <v>87</v>
      </c>
      <c r="T3" s="393" t="s">
        <v>88</v>
      </c>
      <c r="U3" s="394" t="s">
        <v>89</v>
      </c>
      <c r="V3" s="395"/>
      <c r="W3" s="395"/>
      <c r="X3" s="395"/>
      <c r="Y3" s="395"/>
      <c r="Z3" s="395"/>
      <c r="AA3" s="395"/>
      <c r="AB3" s="395"/>
      <c r="AC3" s="395"/>
      <c r="AD3" s="395"/>
      <c r="AE3" s="395"/>
      <c r="AF3" s="395"/>
      <c r="AG3" s="395"/>
      <c r="AH3" s="395"/>
      <c r="AI3" s="395"/>
      <c r="AJ3" s="395"/>
      <c r="AK3" s="395"/>
      <c r="AL3" s="395"/>
      <c r="AM3" s="395"/>
      <c r="AN3" s="395"/>
      <c r="AO3" s="395"/>
      <c r="AP3" s="395"/>
      <c r="AQ3" s="395"/>
      <c r="AR3" s="395"/>
      <c r="AS3" s="395"/>
      <c r="AT3" s="395"/>
    </row>
    <row r="4" spans="2:46" ht="15">
      <c r="B4" s="404">
        <v>1</v>
      </c>
      <c r="C4" s="1030">
        <f>L4/8*12</f>
        <v>1192.6491388001104</v>
      </c>
      <c r="D4" s="554">
        <f t="shared" ref="D4:D33" si="0">C4*$Q$3*1000</f>
        <v>549623.26131279115</v>
      </c>
      <c r="E4" s="603">
        <v>0</v>
      </c>
      <c r="F4" s="598">
        <f t="shared" ref="F4:F33" si="1">E4*$U$1*1000</f>
        <v>0</v>
      </c>
      <c r="G4" s="406">
        <f>N4</f>
        <v>2.8488914177080971</v>
      </c>
      <c r="H4" s="554">
        <f t="shared" ref="H4:H33" si="2">G4*$Q$3*1000</f>
        <v>1312.889886209173</v>
      </c>
      <c r="I4" s="547"/>
      <c r="J4" s="555">
        <f t="shared" ref="J4:J33" si="3">D4+F4+H4</f>
        <v>550936.15119900031</v>
      </c>
      <c r="K4" s="547"/>
      <c r="L4" s="398">
        <v>795.09942586674038</v>
      </c>
      <c r="M4" s="398"/>
      <c r="N4" s="398">
        <v>2.8488914177080971</v>
      </c>
      <c r="O4" s="397"/>
      <c r="P4" s="397">
        <v>558187.26960994431</v>
      </c>
      <c r="Q4" s="552">
        <v>0.48234904399811845</v>
      </c>
      <c r="R4" s="552"/>
      <c r="S4" s="398">
        <v>234436.28408462374</v>
      </c>
      <c r="T4" s="398">
        <v>0</v>
      </c>
      <c r="U4" s="398">
        <v>840</v>
      </c>
      <c r="V4" s="397"/>
      <c r="W4" s="397"/>
      <c r="X4" s="397"/>
      <c r="Y4" s="397"/>
      <c r="Z4" s="397"/>
      <c r="AA4" s="397"/>
      <c r="AB4" s="397"/>
      <c r="AC4" s="397"/>
      <c r="AD4" s="397"/>
      <c r="AE4" s="397"/>
      <c r="AF4" s="397"/>
      <c r="AG4" s="397"/>
      <c r="AH4" s="397"/>
      <c r="AI4" s="397"/>
      <c r="AJ4" s="397"/>
      <c r="AK4" s="397"/>
      <c r="AL4" s="397"/>
      <c r="AM4" s="397"/>
      <c r="AN4" s="397"/>
      <c r="AO4" s="397"/>
      <c r="AP4" s="397"/>
      <c r="AQ4" s="397"/>
      <c r="AR4" s="397"/>
      <c r="AS4" s="397"/>
      <c r="AT4" s="397"/>
    </row>
    <row r="5" spans="2:46" ht="15">
      <c r="B5" s="407">
        <v>2</v>
      </c>
      <c r="C5" s="1031">
        <f t="shared" ref="C5:C33" si="4">L5/8*12</f>
        <v>1127.0819509908256</v>
      </c>
      <c r="D5" s="554">
        <f t="shared" si="0"/>
        <v>519407.12278012629</v>
      </c>
      <c r="E5" s="603">
        <v>0</v>
      </c>
      <c r="F5" s="598">
        <f t="shared" si="1"/>
        <v>0</v>
      </c>
      <c r="G5" s="408">
        <f t="shared" ref="G5:G33" si="5">N5</f>
        <v>2.8488914177080971</v>
      </c>
      <c r="H5" s="554">
        <f t="shared" si="2"/>
        <v>1312.889886209173</v>
      </c>
      <c r="I5" s="547"/>
      <c r="J5" s="556">
        <f t="shared" si="3"/>
        <v>520720.01266633545</v>
      </c>
      <c r="K5" s="547"/>
      <c r="L5" s="398">
        <v>751.38796732721698</v>
      </c>
      <c r="M5" s="398"/>
      <c r="N5" s="398">
        <v>2.8488914177080971</v>
      </c>
      <c r="O5" s="397"/>
      <c r="P5" s="397">
        <v>461605.10519704677</v>
      </c>
      <c r="Q5" s="552">
        <v>0.40988949151404214</v>
      </c>
      <c r="R5" s="552"/>
      <c r="S5" s="398">
        <v>221547.89355314514</v>
      </c>
      <c r="T5" s="398">
        <v>0</v>
      </c>
      <c r="U5" s="398">
        <v>840</v>
      </c>
      <c r="V5" s="399"/>
      <c r="W5" s="399"/>
      <c r="X5" s="399"/>
      <c r="Y5" s="399"/>
      <c r="Z5" s="399"/>
      <c r="AA5" s="399"/>
      <c r="AB5" s="399"/>
      <c r="AC5" s="399"/>
      <c r="AD5" s="399"/>
      <c r="AE5" s="399"/>
      <c r="AF5" s="399"/>
      <c r="AG5" s="399"/>
      <c r="AH5" s="399"/>
      <c r="AI5" s="399"/>
      <c r="AJ5" s="399"/>
      <c r="AK5" s="399"/>
      <c r="AL5" s="399"/>
      <c r="AM5" s="399"/>
      <c r="AN5" s="399"/>
      <c r="AO5" s="399"/>
      <c r="AP5" s="399"/>
      <c r="AQ5" s="399"/>
      <c r="AR5" s="399"/>
      <c r="AS5" s="399"/>
      <c r="AT5" s="399"/>
    </row>
    <row r="6" spans="2:46" ht="15">
      <c r="B6" s="407">
        <v>3</v>
      </c>
      <c r="C6" s="1031">
        <f t="shared" si="4"/>
        <v>1032.7956991235683</v>
      </c>
      <c r="D6" s="554">
        <f t="shared" si="0"/>
        <v>475956.02256772213</v>
      </c>
      <c r="E6" s="603">
        <v>0</v>
      </c>
      <c r="F6" s="598">
        <f t="shared" si="1"/>
        <v>0</v>
      </c>
      <c r="G6" s="408">
        <f t="shared" si="5"/>
        <v>2.8488914177080971</v>
      </c>
      <c r="H6" s="554">
        <f t="shared" si="2"/>
        <v>1312.889886209173</v>
      </c>
      <c r="I6" s="547"/>
      <c r="J6" s="556">
        <f t="shared" si="3"/>
        <v>477268.91245393129</v>
      </c>
      <c r="K6" s="547"/>
      <c r="L6" s="398">
        <v>688.53046608237889</v>
      </c>
      <c r="M6" s="398"/>
      <c r="N6" s="398">
        <v>2.8488914177080971</v>
      </c>
      <c r="O6" s="397"/>
      <c r="P6" s="397">
        <v>535283.84323995048</v>
      </c>
      <c r="Q6" s="552">
        <v>0.49028858859850039</v>
      </c>
      <c r="R6" s="552"/>
      <c r="S6" s="398">
        <v>203014.26299163315</v>
      </c>
      <c r="T6" s="398">
        <v>0</v>
      </c>
      <c r="U6" s="398">
        <v>840</v>
      </c>
      <c r="V6" s="397"/>
      <c r="W6" s="397"/>
      <c r="X6" s="397"/>
      <c r="Y6" s="397"/>
      <c r="Z6" s="397"/>
      <c r="AA6" s="397"/>
      <c r="AB6" s="397"/>
      <c r="AC6" s="397"/>
      <c r="AD6" s="397"/>
      <c r="AE6" s="397"/>
      <c r="AF6" s="397"/>
      <c r="AG6" s="397"/>
      <c r="AH6" s="397"/>
      <c r="AI6" s="397"/>
      <c r="AJ6" s="397"/>
      <c r="AK6" s="397"/>
      <c r="AL6" s="397"/>
      <c r="AM6" s="397"/>
      <c r="AN6" s="397"/>
      <c r="AO6" s="397"/>
      <c r="AP6" s="397"/>
      <c r="AQ6" s="397"/>
      <c r="AR6" s="397"/>
      <c r="AS6" s="397"/>
      <c r="AT6" s="397"/>
    </row>
    <row r="7" spans="2:46" ht="15">
      <c r="B7" s="407">
        <v>4</v>
      </c>
      <c r="C7" s="1032">
        <f t="shared" si="4"/>
        <v>970.524655605828</v>
      </c>
      <c r="D7" s="909">
        <f t="shared" si="0"/>
        <v>447258.88699773833</v>
      </c>
      <c r="E7" s="603">
        <v>0</v>
      </c>
      <c r="F7" s="598">
        <f t="shared" si="1"/>
        <v>0</v>
      </c>
      <c r="G7" s="408">
        <f t="shared" si="5"/>
        <v>2.8488914177080971</v>
      </c>
      <c r="H7" s="909">
        <f t="shared" si="2"/>
        <v>1312.889886209173</v>
      </c>
      <c r="I7" s="547"/>
      <c r="J7" s="556">
        <f t="shared" si="3"/>
        <v>448571.77688394749</v>
      </c>
      <c r="K7" s="547"/>
      <c r="L7" s="400">
        <v>647.016437070552</v>
      </c>
      <c r="N7" s="400">
        <v>2.8488914177080971</v>
      </c>
      <c r="P7" s="397"/>
      <c r="S7" s="398">
        <v>190773.78792361933</v>
      </c>
      <c r="T7" s="398">
        <v>0</v>
      </c>
      <c r="U7" s="398">
        <v>840</v>
      </c>
      <c r="V7" s="399"/>
      <c r="W7" s="399"/>
      <c r="X7" s="399"/>
      <c r="Y7" s="399"/>
      <c r="Z7" s="399"/>
      <c r="AA7" s="399"/>
      <c r="AB7" s="399"/>
      <c r="AC7" s="399"/>
      <c r="AD7" s="399"/>
      <c r="AE7" s="399"/>
      <c r="AF7" s="399"/>
      <c r="AG7" s="399"/>
      <c r="AH7" s="399"/>
      <c r="AI7" s="399"/>
      <c r="AJ7" s="399"/>
      <c r="AK7" s="399"/>
      <c r="AL7" s="399"/>
      <c r="AM7" s="399"/>
      <c r="AN7" s="399"/>
      <c r="AO7" s="399"/>
      <c r="AP7" s="399"/>
      <c r="AQ7" s="399"/>
      <c r="AR7" s="399"/>
      <c r="AS7" s="399"/>
      <c r="AT7" s="399"/>
    </row>
    <row r="8" spans="2:46" ht="15">
      <c r="B8" s="407">
        <v>5</v>
      </c>
      <c r="C8" s="1032">
        <f t="shared" si="4"/>
        <v>917.06561273931197</v>
      </c>
      <c r="D8" s="909">
        <f t="shared" si="0"/>
        <v>422622.69473375403</v>
      </c>
      <c r="E8" s="408">
        <f>M8</f>
        <v>435.02358143947941</v>
      </c>
      <c r="F8" s="405">
        <f t="shared" si="1"/>
        <v>128267.36959428908</v>
      </c>
      <c r="G8" s="408">
        <f t="shared" si="5"/>
        <v>2.8488914177080971</v>
      </c>
      <c r="H8" s="909">
        <f t="shared" si="2"/>
        <v>1312.889886209173</v>
      </c>
      <c r="I8" s="547"/>
      <c r="J8" s="556">
        <f t="shared" si="3"/>
        <v>552202.9542142523</v>
      </c>
      <c r="K8" s="547"/>
      <c r="L8" s="400">
        <v>611.37707515954128</v>
      </c>
      <c r="M8" s="400">
        <v>435.02358143947941</v>
      </c>
      <c r="N8" s="400">
        <v>2.8488914177080971</v>
      </c>
      <c r="S8" s="400">
        <v>180265.46745230665</v>
      </c>
      <c r="T8" s="400">
        <v>128267.36959428909</v>
      </c>
      <c r="U8" s="400">
        <v>840</v>
      </c>
    </row>
    <row r="9" spans="2:46" ht="15">
      <c r="B9" s="407">
        <v>6</v>
      </c>
      <c r="C9" s="1032">
        <f t="shared" si="4"/>
        <v>907.28474789439429</v>
      </c>
      <c r="D9" s="909">
        <f t="shared" si="0"/>
        <v>418115.25775196764</v>
      </c>
      <c r="E9" s="408">
        <f t="shared" ref="E9:E33" si="6">M9</f>
        <v>442.47064533568033</v>
      </c>
      <c r="F9" s="405">
        <f t="shared" si="1"/>
        <v>130463.14779556615</v>
      </c>
      <c r="G9" s="408">
        <f t="shared" si="5"/>
        <v>2.8488914177080971</v>
      </c>
      <c r="H9" s="909">
        <f t="shared" si="2"/>
        <v>1312.889886209173</v>
      </c>
      <c r="I9" s="547"/>
      <c r="J9" s="556">
        <f t="shared" si="3"/>
        <v>549891.29543374293</v>
      </c>
      <c r="K9" s="547"/>
      <c r="L9" s="400">
        <v>604.8564985962629</v>
      </c>
      <c r="M9" s="400">
        <v>442.47064533568033</v>
      </c>
      <c r="N9" s="400">
        <v>2.8488914177080971</v>
      </c>
      <c r="S9" s="400">
        <v>178342.86546084136</v>
      </c>
      <c r="T9" s="400">
        <v>130463.14779556615</v>
      </c>
      <c r="U9" s="400">
        <v>840</v>
      </c>
    </row>
    <row r="10" spans="2:46" ht="15">
      <c r="B10" s="407">
        <v>7</v>
      </c>
      <c r="C10" s="1032">
        <f t="shared" si="4"/>
        <v>883.99803864791261</v>
      </c>
      <c r="D10" s="909">
        <f t="shared" si="0"/>
        <v>407383.75536378782</v>
      </c>
      <c r="E10" s="408">
        <f t="shared" si="6"/>
        <v>449.93138399557938</v>
      </c>
      <c r="F10" s="405">
        <f t="shared" si="1"/>
        <v>132662.9580218741</v>
      </c>
      <c r="G10" s="408">
        <f t="shared" si="5"/>
        <v>2.8488914177080971</v>
      </c>
      <c r="H10" s="909">
        <f t="shared" si="2"/>
        <v>1312.889886209173</v>
      </c>
      <c r="I10" s="547"/>
      <c r="J10" s="556">
        <f t="shared" si="3"/>
        <v>541359.60327187111</v>
      </c>
      <c r="K10" s="547"/>
      <c r="L10" s="400">
        <v>589.33202576527503</v>
      </c>
      <c r="M10" s="400">
        <v>449.93138399557938</v>
      </c>
      <c r="N10" s="400">
        <v>2.8488914177080971</v>
      </c>
      <c r="S10" s="400">
        <v>173765.45085775314</v>
      </c>
      <c r="T10" s="400">
        <v>132662.9580218741</v>
      </c>
      <c r="U10" s="400">
        <v>840</v>
      </c>
    </row>
    <row r="11" spans="2:46" ht="15">
      <c r="B11" s="407">
        <v>8</v>
      </c>
      <c r="C11" s="1032">
        <f t="shared" si="4"/>
        <v>861.93694567756074</v>
      </c>
      <c r="D11" s="909">
        <f t="shared" si="0"/>
        <v>397217.06889077503</v>
      </c>
      <c r="E11" s="408">
        <f t="shared" si="6"/>
        <v>575.55502628469856</v>
      </c>
      <c r="F11" s="405">
        <f t="shared" si="1"/>
        <v>169703.28144976834</v>
      </c>
      <c r="G11" s="408">
        <f t="shared" si="5"/>
        <v>2.8488914177080971</v>
      </c>
      <c r="H11" s="909">
        <f t="shared" si="2"/>
        <v>1312.889886209173</v>
      </c>
      <c r="I11" s="547"/>
      <c r="J11" s="556">
        <f t="shared" si="3"/>
        <v>568233.24022675247</v>
      </c>
      <c r="K11" s="547"/>
      <c r="L11" s="400">
        <v>574.62463045170716</v>
      </c>
      <c r="M11" s="400">
        <v>575.55502628469856</v>
      </c>
      <c r="N11" s="400">
        <v>2.8488914177080971</v>
      </c>
      <c r="S11" s="400">
        <v>169428.95281272207</v>
      </c>
      <c r="T11" s="400">
        <v>169703.28144976834</v>
      </c>
      <c r="U11" s="400">
        <v>840</v>
      </c>
    </row>
    <row r="12" spans="2:46" ht="15">
      <c r="B12" s="407">
        <v>9</v>
      </c>
      <c r="C12" s="1032">
        <f t="shared" si="4"/>
        <v>841.00719080825343</v>
      </c>
      <c r="D12" s="909">
        <f t="shared" si="0"/>
        <v>387571.75095484016</v>
      </c>
      <c r="E12" s="408">
        <f t="shared" si="6"/>
        <v>626.75717137488232</v>
      </c>
      <c r="F12" s="405">
        <f t="shared" si="1"/>
        <v>184800.31238903641</v>
      </c>
      <c r="G12" s="408">
        <f t="shared" si="5"/>
        <v>2.8488914177080971</v>
      </c>
      <c r="H12" s="909">
        <f t="shared" si="2"/>
        <v>1312.889886209173</v>
      </c>
      <c r="I12" s="547"/>
      <c r="J12" s="556">
        <f t="shared" si="3"/>
        <v>573684.95323008567</v>
      </c>
      <c r="K12" s="547"/>
      <c r="L12" s="400">
        <v>560.67146053883562</v>
      </c>
      <c r="M12" s="400">
        <v>626.75717137488232</v>
      </c>
      <c r="N12" s="400">
        <v>2.8488914177080971</v>
      </c>
      <c r="S12" s="400">
        <v>165314.8392828209</v>
      </c>
      <c r="T12" s="400">
        <v>184800.31238903641</v>
      </c>
      <c r="U12" s="400">
        <v>840</v>
      </c>
    </row>
    <row r="13" spans="2:46" ht="15">
      <c r="B13" s="407">
        <v>10</v>
      </c>
      <c r="C13" s="1032">
        <f t="shared" si="4"/>
        <v>821.18462890760111</v>
      </c>
      <c r="D13" s="909">
        <f t="shared" si="0"/>
        <v>378436.67445583537</v>
      </c>
      <c r="E13" s="408">
        <f t="shared" si="6"/>
        <v>670.97522180169562</v>
      </c>
      <c r="F13" s="405">
        <f t="shared" si="1"/>
        <v>197838.07231475672</v>
      </c>
      <c r="G13" s="408">
        <f t="shared" si="5"/>
        <v>2.8488914177080971</v>
      </c>
      <c r="H13" s="909">
        <f t="shared" si="2"/>
        <v>1312.889886209173</v>
      </c>
      <c r="I13" s="547"/>
      <c r="J13" s="556">
        <f t="shared" si="3"/>
        <v>577587.63665680122</v>
      </c>
      <c r="K13" s="547"/>
      <c r="L13" s="400">
        <v>547.45641927173403</v>
      </c>
      <c r="M13" s="400">
        <v>670.97522180169562</v>
      </c>
      <c r="N13" s="400">
        <v>2.8488914177080971</v>
      </c>
      <c r="S13" s="400">
        <v>161418.36411519392</v>
      </c>
      <c r="T13" s="400">
        <v>197838.07231475675</v>
      </c>
      <c r="U13" s="400">
        <v>840</v>
      </c>
    </row>
    <row r="14" spans="2:46" ht="15">
      <c r="B14" s="407">
        <v>11</v>
      </c>
      <c r="C14" s="1032">
        <f t="shared" si="4"/>
        <v>822.47353836281388</v>
      </c>
      <c r="D14" s="909">
        <f t="shared" si="0"/>
        <v>379030.65854995348</v>
      </c>
      <c r="E14" s="408">
        <f t="shared" si="6"/>
        <v>672.02904042345995</v>
      </c>
      <c r="F14" s="405">
        <f t="shared" si="1"/>
        <v>198148.79235019922</v>
      </c>
      <c r="G14" s="408">
        <f t="shared" si="5"/>
        <v>2.8488914177080971</v>
      </c>
      <c r="H14" s="909">
        <f t="shared" si="2"/>
        <v>1312.889886209173</v>
      </c>
      <c r="I14" s="547"/>
      <c r="J14" s="556">
        <f t="shared" si="3"/>
        <v>578492.34078636183</v>
      </c>
      <c r="K14" s="547"/>
      <c r="L14" s="400">
        <v>548.31569224187592</v>
      </c>
      <c r="M14" s="400">
        <v>672.02904042345995</v>
      </c>
      <c r="N14" s="400">
        <v>2.8488914177080971</v>
      </c>
      <c r="S14" s="400">
        <v>161671.72206714415</v>
      </c>
      <c r="T14" s="400">
        <v>198148.79235019922</v>
      </c>
      <c r="U14" s="400">
        <v>840</v>
      </c>
    </row>
    <row r="15" spans="2:46" ht="15">
      <c r="B15" s="407">
        <v>12</v>
      </c>
      <c r="C15" s="1032">
        <f t="shared" si="4"/>
        <v>823.6615792101519</v>
      </c>
      <c r="D15" s="909">
        <f t="shared" si="0"/>
        <v>379578.15811528557</v>
      </c>
      <c r="E15" s="408">
        <f t="shared" si="6"/>
        <v>673.01809557848901</v>
      </c>
      <c r="F15" s="405">
        <f t="shared" si="1"/>
        <v>198440.41677823471</v>
      </c>
      <c r="G15" s="408">
        <f t="shared" si="5"/>
        <v>2.8488914177080971</v>
      </c>
      <c r="H15" s="909">
        <f t="shared" si="2"/>
        <v>1312.889886209173</v>
      </c>
      <c r="I15" s="547"/>
      <c r="J15" s="556">
        <f t="shared" si="3"/>
        <v>579331.46477972937</v>
      </c>
      <c r="K15" s="547"/>
      <c r="L15" s="400">
        <v>549.1077194734346</v>
      </c>
      <c r="M15" s="400">
        <v>673.01809557848901</v>
      </c>
      <c r="N15" s="400">
        <v>2.8488914177080971</v>
      </c>
      <c r="S15" s="400">
        <v>161905.25251002939</v>
      </c>
      <c r="T15" s="400">
        <v>198440.41677823471</v>
      </c>
      <c r="U15" s="400">
        <v>840</v>
      </c>
    </row>
    <row r="16" spans="2:46" ht="15">
      <c r="B16" s="407">
        <v>13</v>
      </c>
      <c r="C16" s="1032">
        <f t="shared" si="4"/>
        <v>824.8496200574898</v>
      </c>
      <c r="D16" s="909">
        <f t="shared" si="0"/>
        <v>380125.65768061759</v>
      </c>
      <c r="E16" s="408">
        <f t="shared" si="6"/>
        <v>673.98207164791063</v>
      </c>
      <c r="F16" s="405">
        <f t="shared" si="1"/>
        <v>198724.64659944901</v>
      </c>
      <c r="G16" s="408">
        <f t="shared" si="5"/>
        <v>2.8488914177080971</v>
      </c>
      <c r="H16" s="909">
        <f t="shared" si="2"/>
        <v>1312.889886209173</v>
      </c>
      <c r="I16" s="547"/>
      <c r="J16" s="556">
        <f t="shared" si="3"/>
        <v>580163.19416627579</v>
      </c>
      <c r="K16" s="547"/>
      <c r="L16" s="400">
        <v>549.89974670499316</v>
      </c>
      <c r="M16" s="400">
        <v>673.98207164791063</v>
      </c>
      <c r="N16" s="400">
        <v>2.8488914177080971</v>
      </c>
      <c r="S16" s="400">
        <v>162138.78295291457</v>
      </c>
      <c r="T16" s="400">
        <v>198724.64659944904</v>
      </c>
      <c r="U16" s="400">
        <v>840</v>
      </c>
    </row>
    <row r="17" spans="2:46" ht="15">
      <c r="B17" s="407">
        <v>14</v>
      </c>
      <c r="C17" s="1032">
        <f t="shared" si="4"/>
        <v>826.03766090482736</v>
      </c>
      <c r="D17" s="909">
        <f t="shared" si="0"/>
        <v>380673.15724594943</v>
      </c>
      <c r="E17" s="408">
        <f t="shared" si="6"/>
        <v>674.94604771733214</v>
      </c>
      <c r="F17" s="405">
        <f t="shared" si="1"/>
        <v>199008.87642066332</v>
      </c>
      <c r="G17" s="408">
        <f t="shared" si="5"/>
        <v>2.8488914177080971</v>
      </c>
      <c r="H17" s="909">
        <f t="shared" si="2"/>
        <v>1312.889886209173</v>
      </c>
      <c r="I17" s="547"/>
      <c r="J17" s="556">
        <f t="shared" si="3"/>
        <v>580994.92355282197</v>
      </c>
      <c r="K17" s="547"/>
      <c r="L17" s="400">
        <v>550.69177393655161</v>
      </c>
      <c r="M17" s="400">
        <v>674.94604771733214</v>
      </c>
      <c r="N17" s="400">
        <v>2.8488914177080971</v>
      </c>
      <c r="S17" s="400">
        <v>162372.31339579975</v>
      </c>
      <c r="T17" s="400">
        <v>199008.87642066332</v>
      </c>
      <c r="U17" s="400">
        <v>840</v>
      </c>
    </row>
    <row r="18" spans="2:46" ht="15">
      <c r="B18" s="407">
        <v>15</v>
      </c>
      <c r="C18" s="1032">
        <f t="shared" si="4"/>
        <v>827.22570175216526</v>
      </c>
      <c r="D18" s="909">
        <f t="shared" si="0"/>
        <v>381220.65681128146</v>
      </c>
      <c r="E18" s="408">
        <f t="shared" si="6"/>
        <v>675.91002378675364</v>
      </c>
      <c r="F18" s="405">
        <f t="shared" si="1"/>
        <v>199293.10624187757</v>
      </c>
      <c r="G18" s="408">
        <f t="shared" si="5"/>
        <v>2.8488914177080971</v>
      </c>
      <c r="H18" s="909">
        <f t="shared" si="2"/>
        <v>1312.889886209173</v>
      </c>
      <c r="I18" s="547"/>
      <c r="J18" s="556">
        <f t="shared" si="3"/>
        <v>581826.65293936816</v>
      </c>
      <c r="K18" s="547"/>
      <c r="L18" s="400">
        <v>551.48380116811018</v>
      </c>
      <c r="M18" s="400">
        <v>675.91002378675364</v>
      </c>
      <c r="N18" s="400">
        <v>2.8488914177080971</v>
      </c>
      <c r="S18" s="400">
        <v>162605.84383868493</v>
      </c>
      <c r="T18" s="400">
        <v>199293.1062418776</v>
      </c>
      <c r="U18" s="400">
        <v>840</v>
      </c>
    </row>
    <row r="19" spans="2:46" ht="15">
      <c r="B19" s="407">
        <v>16</v>
      </c>
      <c r="C19" s="1032">
        <f t="shared" si="4"/>
        <v>828.17368260572289</v>
      </c>
      <c r="D19" s="909">
        <f t="shared" si="0"/>
        <v>381657.52655900846</v>
      </c>
      <c r="E19" s="408">
        <f t="shared" si="6"/>
        <v>676.73663811920494</v>
      </c>
      <c r="F19" s="405">
        <f t="shared" si="1"/>
        <v>199536.83474446044</v>
      </c>
      <c r="G19" s="408">
        <f t="shared" si="5"/>
        <v>2.8488914177080971</v>
      </c>
      <c r="H19" s="909">
        <f t="shared" si="2"/>
        <v>1312.889886209173</v>
      </c>
      <c r="I19" s="547"/>
      <c r="J19" s="556">
        <f t="shared" si="3"/>
        <v>582507.25118967809</v>
      </c>
      <c r="K19" s="547"/>
      <c r="L19" s="400">
        <v>552.11578840381526</v>
      </c>
      <c r="M19" s="400">
        <v>676.73663811920494</v>
      </c>
      <c r="N19" s="400">
        <v>2.8488914177080971</v>
      </c>
      <c r="S19" s="400">
        <v>162792.186243556</v>
      </c>
      <c r="T19" s="400">
        <v>199536.83474446042</v>
      </c>
      <c r="U19" s="400">
        <v>840</v>
      </c>
    </row>
    <row r="20" spans="2:46" ht="15">
      <c r="B20" s="407">
        <v>17</v>
      </c>
      <c r="C20" s="1032">
        <f t="shared" si="4"/>
        <v>829.14036469713233</v>
      </c>
      <c r="D20" s="909">
        <f t="shared" si="0"/>
        <v>382103.01462959702</v>
      </c>
      <c r="E20" s="408">
        <f t="shared" si="6"/>
        <v>677.52492106094542</v>
      </c>
      <c r="F20" s="405">
        <f t="shared" si="1"/>
        <v>199769.26117775519</v>
      </c>
      <c r="G20" s="408">
        <f t="shared" si="5"/>
        <v>2.8488914177080971</v>
      </c>
      <c r="H20" s="909">
        <f t="shared" si="2"/>
        <v>1312.889886209173</v>
      </c>
      <c r="I20" s="547"/>
      <c r="J20" s="556">
        <f t="shared" si="3"/>
        <v>583185.16569356143</v>
      </c>
      <c r="K20" s="547"/>
      <c r="L20" s="400">
        <v>552.76024313142159</v>
      </c>
      <c r="M20" s="400">
        <v>677.52492106094542</v>
      </c>
      <c r="N20" s="400">
        <v>2.8488914177080971</v>
      </c>
      <c r="S20" s="400">
        <v>162982.20470751869</v>
      </c>
      <c r="T20" s="400">
        <v>199769.26117775519</v>
      </c>
      <c r="U20" s="400">
        <v>840</v>
      </c>
    </row>
    <row r="21" spans="2:46" ht="15">
      <c r="B21" s="407">
        <v>18</v>
      </c>
      <c r="C21" s="1032">
        <f t="shared" si="4"/>
        <v>830.10704678854199</v>
      </c>
      <c r="D21" s="909">
        <f t="shared" si="0"/>
        <v>382548.50270018564</v>
      </c>
      <c r="E21" s="408">
        <f t="shared" si="6"/>
        <v>678.31008968035451</v>
      </c>
      <c r="F21" s="405">
        <f t="shared" si="1"/>
        <v>200000.76934833836</v>
      </c>
      <c r="G21" s="408">
        <f t="shared" si="5"/>
        <v>2.8488914177080971</v>
      </c>
      <c r="H21" s="909">
        <f t="shared" si="2"/>
        <v>1312.889886209173</v>
      </c>
      <c r="I21" s="547"/>
      <c r="J21" s="556">
        <f t="shared" si="3"/>
        <v>583862.16193473316</v>
      </c>
      <c r="K21" s="547"/>
      <c r="L21" s="400">
        <v>553.40469785902803</v>
      </c>
      <c r="M21" s="400">
        <v>678.31008968035451</v>
      </c>
      <c r="N21" s="400">
        <v>2.8488914177080971</v>
      </c>
      <c r="S21" s="400">
        <v>163172.22317148137</v>
      </c>
      <c r="T21" s="400">
        <v>200000.76934833833</v>
      </c>
      <c r="U21" s="400">
        <v>840</v>
      </c>
    </row>
    <row r="22" spans="2:46" s="396" customFormat="1" ht="15">
      <c r="B22" s="407">
        <v>19</v>
      </c>
      <c r="C22" s="1032">
        <f t="shared" si="4"/>
        <v>831.07372887995143</v>
      </c>
      <c r="D22" s="909">
        <f t="shared" si="0"/>
        <v>382993.99077077414</v>
      </c>
      <c r="E22" s="408">
        <f t="shared" si="6"/>
        <v>679.09525829976371</v>
      </c>
      <c r="F22" s="405">
        <f t="shared" si="1"/>
        <v>200232.27751892153</v>
      </c>
      <c r="G22" s="408">
        <f t="shared" si="5"/>
        <v>2.8488914177080971</v>
      </c>
      <c r="H22" s="909">
        <f t="shared" si="2"/>
        <v>1312.889886209173</v>
      </c>
      <c r="I22" s="547"/>
      <c r="J22" s="556">
        <f t="shared" si="3"/>
        <v>584539.15817590489</v>
      </c>
      <c r="K22" s="547"/>
      <c r="L22" s="400">
        <v>554.04915258663425</v>
      </c>
      <c r="M22" s="400">
        <v>679.09525829976371</v>
      </c>
      <c r="N22" s="400">
        <v>2.8488914177080971</v>
      </c>
      <c r="O22" s="389"/>
      <c r="P22" s="389"/>
      <c r="Q22" s="389"/>
      <c r="R22" s="389"/>
      <c r="S22" s="400">
        <v>163362.24163544399</v>
      </c>
      <c r="T22" s="400">
        <v>200232.27751892153</v>
      </c>
      <c r="U22" s="400">
        <v>840</v>
      </c>
      <c r="V22" s="389"/>
      <c r="W22" s="389"/>
      <c r="X22" s="389"/>
      <c r="Y22" s="389"/>
      <c r="Z22" s="389"/>
      <c r="AA22" s="389"/>
      <c r="AB22" s="389"/>
      <c r="AC22" s="389"/>
      <c r="AD22" s="389"/>
      <c r="AE22" s="389"/>
      <c r="AF22" s="389"/>
      <c r="AG22" s="389"/>
      <c r="AH22" s="389"/>
      <c r="AI22" s="389"/>
      <c r="AJ22" s="389"/>
      <c r="AK22" s="389"/>
      <c r="AL22" s="389"/>
      <c r="AM22" s="389"/>
      <c r="AN22" s="389"/>
      <c r="AO22" s="389"/>
      <c r="AP22" s="389"/>
      <c r="AQ22" s="389"/>
      <c r="AR22" s="389"/>
      <c r="AS22" s="389"/>
      <c r="AT22" s="389"/>
    </row>
    <row r="23" spans="2:46" ht="15">
      <c r="B23" s="407">
        <v>20</v>
      </c>
      <c r="C23" s="1032">
        <f t="shared" si="4"/>
        <v>832.0404109713611</v>
      </c>
      <c r="D23" s="909">
        <f t="shared" si="0"/>
        <v>383439.47884136275</v>
      </c>
      <c r="E23" s="408">
        <f t="shared" si="6"/>
        <v>679.88042691917315</v>
      </c>
      <c r="F23" s="405">
        <f t="shared" si="1"/>
        <v>200463.78568950479</v>
      </c>
      <c r="G23" s="408">
        <f t="shared" si="5"/>
        <v>2.8488914177080971</v>
      </c>
      <c r="H23" s="909">
        <f t="shared" si="2"/>
        <v>1312.889886209173</v>
      </c>
      <c r="I23" s="547"/>
      <c r="J23" s="556">
        <f t="shared" si="3"/>
        <v>585216.15441707673</v>
      </c>
      <c r="K23" s="547"/>
      <c r="L23" s="400">
        <v>554.69360731424069</v>
      </c>
      <c r="M23" s="400">
        <v>679.88042691917315</v>
      </c>
      <c r="N23" s="400">
        <v>2.8488914177080971</v>
      </c>
      <c r="S23" s="400">
        <v>163552.26009940667</v>
      </c>
      <c r="T23" s="400">
        <v>200463.78568950479</v>
      </c>
      <c r="U23" s="400">
        <v>840</v>
      </c>
    </row>
    <row r="24" spans="2:46" ht="15">
      <c r="B24" s="407">
        <v>21</v>
      </c>
      <c r="C24" s="1032">
        <f t="shared" si="4"/>
        <v>833.22937212102579</v>
      </c>
      <c r="D24" s="909">
        <f t="shared" si="0"/>
        <v>383987.40252100455</v>
      </c>
      <c r="E24" s="408">
        <f t="shared" si="6"/>
        <v>680.79278306805486</v>
      </c>
      <c r="F24" s="405">
        <f t="shared" si="1"/>
        <v>200732.7952980483</v>
      </c>
      <c r="G24" s="408">
        <f t="shared" si="5"/>
        <v>2.8488914177080971</v>
      </c>
      <c r="H24" s="909">
        <f t="shared" si="2"/>
        <v>1312.889886209173</v>
      </c>
      <c r="I24" s="547"/>
      <c r="J24" s="556">
        <f t="shared" si="3"/>
        <v>586033.08770526201</v>
      </c>
      <c r="K24" s="547"/>
      <c r="L24" s="400">
        <v>555.48624808068382</v>
      </c>
      <c r="M24" s="400">
        <v>680.79278306805486</v>
      </c>
      <c r="N24" s="400">
        <v>2.8488914177080971</v>
      </c>
      <c r="O24" s="396"/>
      <c r="P24" s="396"/>
      <c r="Q24" s="396"/>
      <c r="R24" s="396"/>
      <c r="S24" s="400">
        <v>163785.97144399275</v>
      </c>
      <c r="T24" s="400">
        <v>200732.7952980483</v>
      </c>
      <c r="U24" s="400">
        <v>840</v>
      </c>
      <c r="V24" s="396"/>
      <c r="W24" s="396"/>
      <c r="X24" s="396"/>
      <c r="Y24" s="396"/>
      <c r="Z24" s="396"/>
      <c r="AA24" s="396"/>
      <c r="AB24" s="396"/>
      <c r="AC24" s="396"/>
      <c r="AD24" s="396"/>
      <c r="AE24" s="396"/>
      <c r="AF24" s="396"/>
      <c r="AG24" s="396"/>
      <c r="AH24" s="396"/>
      <c r="AI24" s="396"/>
      <c r="AJ24" s="396"/>
      <c r="AK24" s="396"/>
      <c r="AL24" s="396"/>
      <c r="AM24" s="396"/>
      <c r="AN24" s="396"/>
      <c r="AO24" s="396"/>
      <c r="AP24" s="396"/>
      <c r="AQ24" s="396"/>
      <c r="AR24" s="396"/>
      <c r="AS24" s="396"/>
      <c r="AT24" s="396"/>
    </row>
    <row r="25" spans="2:46" ht="15">
      <c r="B25" s="407">
        <v>22</v>
      </c>
      <c r="C25" s="1032">
        <f t="shared" si="4"/>
        <v>834.05502222187579</v>
      </c>
      <c r="D25" s="909">
        <f t="shared" si="0"/>
        <v>384367.8970741544</v>
      </c>
      <c r="E25" s="408">
        <f t="shared" si="6"/>
        <v>681.55448115953959</v>
      </c>
      <c r="F25" s="405">
        <f t="shared" si="1"/>
        <v>200957.38314750799</v>
      </c>
      <c r="G25" s="408">
        <f t="shared" si="5"/>
        <v>2.8488914177080971</v>
      </c>
      <c r="H25" s="909">
        <f t="shared" si="2"/>
        <v>1312.889886209173</v>
      </c>
      <c r="I25" s="547"/>
      <c r="J25" s="556">
        <f t="shared" si="3"/>
        <v>586638.17010787153</v>
      </c>
      <c r="K25" s="547"/>
      <c r="L25" s="400">
        <v>556.03668148125053</v>
      </c>
      <c r="M25" s="400">
        <v>681.55448115953959</v>
      </c>
      <c r="N25" s="400">
        <v>2.8488914177080971</v>
      </c>
      <c r="S25" s="400">
        <v>163948.26757560455</v>
      </c>
      <c r="T25" s="400">
        <v>200957.38314750796</v>
      </c>
      <c r="U25" s="400">
        <v>840</v>
      </c>
    </row>
    <row r="26" spans="2:46" s="396" customFormat="1" ht="15">
      <c r="B26" s="407">
        <v>23</v>
      </c>
      <c r="C26" s="1032">
        <f t="shared" si="4"/>
        <v>834.88067232272601</v>
      </c>
      <c r="D26" s="909">
        <f t="shared" si="0"/>
        <v>384748.39162730449</v>
      </c>
      <c r="E26" s="408">
        <f t="shared" si="6"/>
        <v>682.22482843493992</v>
      </c>
      <c r="F26" s="405">
        <f t="shared" si="1"/>
        <v>201155.03606886405</v>
      </c>
      <c r="G26" s="408">
        <f t="shared" si="5"/>
        <v>2.8488914177080971</v>
      </c>
      <c r="H26" s="909">
        <f t="shared" si="2"/>
        <v>1312.889886209173</v>
      </c>
      <c r="I26" s="547"/>
      <c r="J26" s="556">
        <f t="shared" si="3"/>
        <v>587216.3175823777</v>
      </c>
      <c r="K26" s="547"/>
      <c r="L26" s="400">
        <v>556.58711488181734</v>
      </c>
      <c r="M26" s="400">
        <v>682.22482843493992</v>
      </c>
      <c r="N26" s="400">
        <v>2.8488914177080971</v>
      </c>
      <c r="O26" s="389"/>
      <c r="P26" s="389"/>
      <c r="Q26" s="389"/>
      <c r="R26" s="389"/>
      <c r="S26" s="400">
        <v>164110.56370721635</v>
      </c>
      <c r="T26" s="400">
        <v>201155.03606886408</v>
      </c>
      <c r="U26" s="400">
        <v>840</v>
      </c>
      <c r="V26" s="389"/>
      <c r="W26" s="389"/>
      <c r="X26" s="389"/>
      <c r="Y26" s="389"/>
      <c r="Z26" s="389"/>
      <c r="AA26" s="389"/>
      <c r="AB26" s="389"/>
      <c r="AC26" s="389"/>
      <c r="AD26" s="389"/>
      <c r="AE26" s="389"/>
      <c r="AF26" s="389"/>
      <c r="AG26" s="389"/>
      <c r="AH26" s="389"/>
      <c r="AI26" s="389"/>
      <c r="AJ26" s="389"/>
      <c r="AK26" s="389"/>
      <c r="AL26" s="389"/>
      <c r="AM26" s="389"/>
      <c r="AN26" s="389"/>
      <c r="AO26" s="389"/>
      <c r="AP26" s="389"/>
      <c r="AQ26" s="389"/>
      <c r="AR26" s="389"/>
      <c r="AS26" s="389"/>
      <c r="AT26" s="389"/>
    </row>
    <row r="27" spans="2:46" s="396" customFormat="1" ht="15">
      <c r="B27" s="407">
        <v>24</v>
      </c>
      <c r="C27" s="1032">
        <f t="shared" si="4"/>
        <v>835.70632242357624</v>
      </c>
      <c r="D27" s="909">
        <f t="shared" si="0"/>
        <v>385128.88618045457</v>
      </c>
      <c r="E27" s="408">
        <f t="shared" si="6"/>
        <v>682.89517571034037</v>
      </c>
      <c r="F27" s="405">
        <f t="shared" si="1"/>
        <v>201352.68899022017</v>
      </c>
      <c r="G27" s="408">
        <f t="shared" si="5"/>
        <v>2.8488914177080971</v>
      </c>
      <c r="H27" s="909">
        <f t="shared" si="2"/>
        <v>1312.889886209173</v>
      </c>
      <c r="I27" s="547"/>
      <c r="J27" s="556">
        <f t="shared" si="3"/>
        <v>587794.46505688387</v>
      </c>
      <c r="K27" s="547"/>
      <c r="L27" s="400">
        <v>557.13754828238416</v>
      </c>
      <c r="M27" s="400">
        <v>682.89517571034037</v>
      </c>
      <c r="N27" s="400">
        <v>2.8488914177080971</v>
      </c>
      <c r="O27" s="389"/>
      <c r="P27" s="389"/>
      <c r="Q27" s="389"/>
      <c r="R27" s="389"/>
      <c r="S27" s="400">
        <v>164272.85983882815</v>
      </c>
      <c r="T27" s="400">
        <v>201352.68899022017</v>
      </c>
      <c r="U27" s="400">
        <v>840</v>
      </c>
      <c r="V27" s="389"/>
      <c r="W27" s="389"/>
      <c r="X27" s="389"/>
      <c r="Y27" s="389"/>
      <c r="Z27" s="389"/>
      <c r="AA27" s="389"/>
      <c r="AB27" s="389"/>
      <c r="AC27" s="389"/>
      <c r="AD27" s="389"/>
      <c r="AE27" s="389"/>
      <c r="AF27" s="389"/>
      <c r="AG27" s="389"/>
      <c r="AH27" s="389"/>
      <c r="AI27" s="389"/>
      <c r="AJ27" s="389"/>
      <c r="AK27" s="389"/>
      <c r="AL27" s="389"/>
      <c r="AM27" s="389"/>
      <c r="AN27" s="389"/>
      <c r="AO27" s="389"/>
      <c r="AP27" s="389"/>
      <c r="AQ27" s="389"/>
      <c r="AR27" s="389"/>
      <c r="AS27" s="389"/>
      <c r="AT27" s="389"/>
    </row>
    <row r="28" spans="2:46" ht="15">
      <c r="B28" s="407">
        <v>25</v>
      </c>
      <c r="C28" s="1032">
        <f t="shared" si="4"/>
        <v>836.53197252442624</v>
      </c>
      <c r="D28" s="909">
        <f t="shared" si="0"/>
        <v>385509.38073360448</v>
      </c>
      <c r="E28" s="408">
        <f t="shared" si="6"/>
        <v>683.5655229857407</v>
      </c>
      <c r="F28" s="405">
        <f t="shared" si="1"/>
        <v>201550.34191157625</v>
      </c>
      <c r="G28" s="408">
        <f t="shared" si="5"/>
        <v>2.8488914177080971</v>
      </c>
      <c r="H28" s="909">
        <f t="shared" si="2"/>
        <v>1312.889886209173</v>
      </c>
      <c r="I28" s="547"/>
      <c r="J28" s="556">
        <f t="shared" si="3"/>
        <v>588372.61253138992</v>
      </c>
      <c r="K28" s="547"/>
      <c r="L28" s="400">
        <v>557.68798168295086</v>
      </c>
      <c r="M28" s="400">
        <v>683.5655229857407</v>
      </c>
      <c r="N28" s="400">
        <v>2.8488914177080971</v>
      </c>
      <c r="O28" s="396"/>
      <c r="P28" s="396"/>
      <c r="Q28" s="396"/>
      <c r="R28" s="396"/>
      <c r="S28" s="400">
        <v>164435.15597043996</v>
      </c>
      <c r="T28" s="400">
        <v>201550.34191157625</v>
      </c>
      <c r="U28" s="400">
        <v>840</v>
      </c>
      <c r="V28" s="396"/>
      <c r="W28" s="396"/>
      <c r="X28" s="396"/>
      <c r="Y28" s="396"/>
      <c r="Z28" s="396"/>
      <c r="AA28" s="396"/>
      <c r="AB28" s="396"/>
      <c r="AC28" s="396"/>
      <c r="AD28" s="396"/>
      <c r="AE28" s="396"/>
      <c r="AF28" s="396"/>
      <c r="AG28" s="396"/>
      <c r="AH28" s="396"/>
      <c r="AI28" s="396"/>
      <c r="AJ28" s="396"/>
      <c r="AK28" s="396"/>
      <c r="AL28" s="396"/>
      <c r="AM28" s="396"/>
      <c r="AN28" s="396"/>
      <c r="AO28" s="396"/>
      <c r="AP28" s="396"/>
      <c r="AQ28" s="396"/>
      <c r="AR28" s="396"/>
      <c r="AS28" s="396"/>
      <c r="AT28" s="396"/>
    </row>
    <row r="29" spans="2:46" ht="15">
      <c r="B29" s="407">
        <v>26</v>
      </c>
      <c r="C29" s="1032">
        <f t="shared" si="4"/>
        <v>837.72093367409093</v>
      </c>
      <c r="D29" s="909">
        <f t="shared" si="0"/>
        <v>386057.30441324622</v>
      </c>
      <c r="E29" s="408">
        <f t="shared" si="6"/>
        <v>684.44375594813073</v>
      </c>
      <c r="F29" s="405">
        <f t="shared" si="1"/>
        <v>201809.29024629414</v>
      </c>
      <c r="G29" s="408">
        <f t="shared" si="5"/>
        <v>2.8488914177080971</v>
      </c>
      <c r="H29" s="909">
        <f t="shared" si="2"/>
        <v>1312.889886209173</v>
      </c>
      <c r="I29" s="547"/>
      <c r="J29" s="556">
        <f t="shared" si="3"/>
        <v>589179.4845457495</v>
      </c>
      <c r="K29" s="547"/>
      <c r="L29" s="400">
        <v>558.48062244939399</v>
      </c>
      <c r="M29" s="400">
        <v>684.44375594813073</v>
      </c>
      <c r="N29" s="400">
        <v>2.8488914177080971</v>
      </c>
      <c r="O29" s="396"/>
      <c r="P29" s="396"/>
      <c r="Q29" s="396"/>
      <c r="R29" s="396"/>
      <c r="S29" s="400">
        <v>164668.867315026</v>
      </c>
      <c r="T29" s="400">
        <v>201809.29024629414</v>
      </c>
      <c r="U29" s="400">
        <v>840</v>
      </c>
      <c r="V29" s="396"/>
      <c r="W29" s="396"/>
      <c r="X29" s="396"/>
      <c r="Y29" s="396"/>
      <c r="Z29" s="396"/>
      <c r="AA29" s="396"/>
      <c r="AB29" s="396"/>
      <c r="AC29" s="396"/>
      <c r="AD29" s="396"/>
      <c r="AE29" s="396"/>
      <c r="AF29" s="396"/>
      <c r="AG29" s="396"/>
      <c r="AH29" s="396"/>
      <c r="AI29" s="396"/>
      <c r="AJ29" s="396"/>
      <c r="AK29" s="396"/>
      <c r="AL29" s="396"/>
      <c r="AM29" s="396"/>
      <c r="AN29" s="396"/>
      <c r="AO29" s="396"/>
      <c r="AP29" s="396"/>
      <c r="AQ29" s="396"/>
      <c r="AR29" s="396"/>
      <c r="AS29" s="396"/>
      <c r="AT29" s="396"/>
    </row>
    <row r="30" spans="2:46" ht="15">
      <c r="B30" s="407">
        <v>27</v>
      </c>
      <c r="C30" s="1032">
        <f t="shared" si="4"/>
        <v>838.58674715762595</v>
      </c>
      <c r="D30" s="909">
        <f t="shared" si="0"/>
        <v>386456.30795504886</v>
      </c>
      <c r="E30" s="408">
        <f t="shared" si="6"/>
        <v>685.22843594008134</v>
      </c>
      <c r="F30" s="405">
        <f t="shared" si="1"/>
        <v>202040.65434432242</v>
      </c>
      <c r="G30" s="408">
        <f t="shared" si="5"/>
        <v>2.8488914177080971</v>
      </c>
      <c r="H30" s="909">
        <f t="shared" si="2"/>
        <v>1312.889886209173</v>
      </c>
      <c r="I30" s="547"/>
      <c r="J30" s="556">
        <f t="shared" si="3"/>
        <v>589809.85218558041</v>
      </c>
      <c r="K30" s="547"/>
      <c r="L30" s="400">
        <v>559.05783143841734</v>
      </c>
      <c r="M30" s="400">
        <v>685.22843594008134</v>
      </c>
      <c r="N30" s="400">
        <v>2.8488914177080971</v>
      </c>
      <c r="S30" s="400">
        <v>164839.0582699237</v>
      </c>
      <c r="T30" s="400">
        <v>202040.65434432245</v>
      </c>
      <c r="U30" s="400">
        <v>840</v>
      </c>
    </row>
    <row r="31" spans="2:46" ht="15">
      <c r="B31" s="407">
        <v>28</v>
      </c>
      <c r="C31" s="1032">
        <f t="shared" si="4"/>
        <v>839.47310248366625</v>
      </c>
      <c r="D31" s="909">
        <f t="shared" si="0"/>
        <v>386864.77804833243</v>
      </c>
      <c r="E31" s="408">
        <f t="shared" si="6"/>
        <v>685.94254275854712</v>
      </c>
      <c r="F31" s="405">
        <f t="shared" si="1"/>
        <v>202251.20983400615</v>
      </c>
      <c r="G31" s="408">
        <f t="shared" si="5"/>
        <v>2.8488914177080971</v>
      </c>
      <c r="H31" s="909">
        <f t="shared" si="2"/>
        <v>1312.889886209173</v>
      </c>
      <c r="I31" s="547"/>
      <c r="J31" s="556">
        <f t="shared" si="3"/>
        <v>590428.87776854774</v>
      </c>
      <c r="K31" s="547"/>
      <c r="L31" s="400">
        <v>559.64873498911084</v>
      </c>
      <c r="M31" s="400">
        <v>685.94254275854712</v>
      </c>
      <c r="N31" s="400">
        <v>2.8488914177080971</v>
      </c>
      <c r="S31" s="400">
        <v>165013.28708731467</v>
      </c>
      <c r="T31" s="400">
        <v>202251.20983400615</v>
      </c>
      <c r="U31" s="400">
        <v>840</v>
      </c>
    </row>
    <row r="32" spans="2:46" ht="15">
      <c r="B32" s="407">
        <v>29</v>
      </c>
      <c r="C32" s="1032">
        <f t="shared" si="4"/>
        <v>840.39962119239112</v>
      </c>
      <c r="D32" s="909">
        <f t="shared" si="0"/>
        <v>387291.7571302685</v>
      </c>
      <c r="E32" s="408">
        <f t="shared" si="6"/>
        <v>686.68668504751918</v>
      </c>
      <c r="F32" s="405">
        <f t="shared" si="1"/>
        <v>202470.62132819337</v>
      </c>
      <c r="G32" s="408">
        <f t="shared" si="5"/>
        <v>2.8488914177080971</v>
      </c>
      <c r="H32" s="909">
        <f t="shared" si="2"/>
        <v>1312.889886209173</v>
      </c>
      <c r="I32" s="547"/>
      <c r="J32" s="556">
        <f t="shared" si="3"/>
        <v>591075.268344671</v>
      </c>
      <c r="K32" s="547"/>
      <c r="L32" s="400">
        <v>560.26641412826075</v>
      </c>
      <c r="M32" s="400">
        <v>686.68668504751918</v>
      </c>
      <c r="N32" s="400">
        <v>2.8488914177080971</v>
      </c>
      <c r="S32" s="400">
        <v>165195.41072799149</v>
      </c>
      <c r="T32" s="400">
        <v>202470.62132819337</v>
      </c>
      <c r="U32" s="400">
        <v>840</v>
      </c>
    </row>
    <row r="33" spans="2:21" ht="15.75" thickBot="1">
      <c r="B33" s="409">
        <v>30</v>
      </c>
      <c r="C33" s="1033">
        <f t="shared" si="4"/>
        <v>840.90304392943801</v>
      </c>
      <c r="D33" s="910">
        <f t="shared" si="0"/>
        <v>387523.75565988891</v>
      </c>
      <c r="E33" s="411">
        <f t="shared" si="6"/>
        <v>687.19775574371806</v>
      </c>
      <c r="F33" s="410">
        <f t="shared" si="1"/>
        <v>202621.31130610502</v>
      </c>
      <c r="G33" s="411">
        <f t="shared" si="5"/>
        <v>2.8488914177080971</v>
      </c>
      <c r="H33" s="910">
        <f t="shared" si="2"/>
        <v>1312.889886209173</v>
      </c>
      <c r="I33" s="547"/>
      <c r="J33" s="557">
        <f t="shared" si="3"/>
        <v>591457.95685220312</v>
      </c>
      <c r="K33" s="547"/>
      <c r="L33" s="400">
        <v>560.60202928629201</v>
      </c>
      <c r="M33" s="400">
        <v>687.19775574371806</v>
      </c>
      <c r="N33" s="400">
        <v>2.8488914177080971</v>
      </c>
      <c r="S33" s="400">
        <v>165294.36737161572</v>
      </c>
      <c r="T33" s="400">
        <v>202621.311306105</v>
      </c>
      <c r="U33" s="400">
        <v>840</v>
      </c>
    </row>
    <row r="34" spans="2:21">
      <c r="D34" s="400"/>
      <c r="F34" s="400"/>
      <c r="H34" s="400"/>
      <c r="I34" s="400"/>
      <c r="J34" s="400"/>
      <c r="K34" s="400"/>
    </row>
    <row r="36" spans="2:21" ht="22.5" customHeight="1">
      <c r="D36" s="401">
        <f>SUM(D4:D35)</f>
        <v>12074899.15905666</v>
      </c>
      <c r="F36" s="401">
        <f>SUM(F4:F35)</f>
        <v>4954295.2409098325</v>
      </c>
      <c r="H36" s="401">
        <f>SUM(H4:H35)</f>
        <v>39386.696586275204</v>
      </c>
      <c r="I36" s="401"/>
      <c r="J36" s="401"/>
      <c r="K36" s="401"/>
    </row>
    <row r="37" spans="2:21" ht="30" customHeight="1">
      <c r="F37" s="401">
        <f>SUM(D36:H36)</f>
        <v>17068581.096552767</v>
      </c>
    </row>
  </sheetData>
  <mergeCells count="5">
    <mergeCell ref="B1:H1"/>
    <mergeCell ref="B2:B3"/>
    <mergeCell ref="C2:D2"/>
    <mergeCell ref="E2:F2"/>
    <mergeCell ref="G2:H2"/>
  </mergeCells>
  <pageMargins left="0.511811024" right="0.511811024" top="0.78740157499999996" bottom="0.78740157499999996" header="0.31496062000000002" footer="0.3149606200000000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12">
    <tabColor rgb="FF7030A0"/>
    <pageSetUpPr fitToPage="1"/>
  </sheetPr>
  <dimension ref="A1:BK37"/>
  <sheetViews>
    <sheetView showGridLines="0" topLeftCell="O1" zoomScale="70" zoomScaleNormal="70" workbookViewId="0">
      <selection activeCell="B20" sqref="B20"/>
    </sheetView>
  </sheetViews>
  <sheetFormatPr defaultColWidth="11.5703125" defaultRowHeight="12.75"/>
  <cols>
    <col min="1" max="17" width="11.5703125" style="389"/>
    <col min="18" max="18" width="2.7109375" style="389" customWidth="1"/>
    <col min="19" max="19" width="7.42578125" style="389" customWidth="1"/>
    <col min="20" max="25" width="18.42578125" style="389" customWidth="1"/>
    <col min="26" max="26" width="2.7109375" style="389" customWidth="1"/>
    <col min="27" max="27" width="12.7109375" style="389" customWidth="1"/>
    <col min="28" max="28" width="2.85546875" style="389" customWidth="1"/>
    <col min="29" max="31" width="8.7109375" style="400" customWidth="1"/>
    <col min="32" max="32" width="2.85546875" style="389" customWidth="1"/>
    <col min="33" max="33" width="10.85546875" style="389" bestFit="1" customWidth="1"/>
    <col min="34" max="34" width="12" style="389" customWidth="1"/>
    <col min="35" max="35" width="2.7109375" style="389" customWidth="1"/>
    <col min="36" max="36" width="14.5703125" style="389" customWidth="1"/>
    <col min="37" max="40" width="12.42578125" style="389" bestFit="1" customWidth="1"/>
    <col min="41" max="42" width="10.85546875" style="389" bestFit="1" customWidth="1"/>
    <col min="43" max="63" width="12.42578125" style="389" bestFit="1" customWidth="1"/>
    <col min="64" max="16384" width="11.5703125" style="389"/>
  </cols>
  <sheetData>
    <row r="1" spans="1:63" s="387" customFormat="1" ht="48.75" customHeight="1" thickBot="1">
      <c r="A1" s="1006" t="s">
        <v>510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S1" s="1271" t="s">
        <v>49</v>
      </c>
      <c r="T1" s="1271"/>
      <c r="U1" s="1271"/>
      <c r="V1" s="1271"/>
      <c r="W1" s="1271"/>
      <c r="X1" s="1271"/>
      <c r="Y1" s="1271"/>
      <c r="Z1" s="530"/>
      <c r="AA1" s="530"/>
      <c r="AB1" s="530"/>
      <c r="AC1" s="548"/>
      <c r="AD1" s="548"/>
      <c r="AE1" s="548"/>
      <c r="AK1" s="388" t="s">
        <v>99</v>
      </c>
      <c r="AL1" s="553">
        <v>0.29485153234649114</v>
      </c>
    </row>
    <row r="2" spans="1:63" ht="21.75" customHeight="1" thickBot="1">
      <c r="A2"/>
      <c r="B2"/>
      <c r="C2"/>
      <c r="D2"/>
      <c r="E2"/>
      <c r="F2"/>
      <c r="G2"/>
      <c r="H2"/>
      <c r="I2" s="1006"/>
      <c r="J2" s="1276" t="s">
        <v>511</v>
      </c>
      <c r="K2" s="1276"/>
      <c r="L2" s="1276" t="s">
        <v>512</v>
      </c>
      <c r="M2" s="1276"/>
      <c r="N2" s="1276" t="s">
        <v>513</v>
      </c>
      <c r="O2" s="1276"/>
      <c r="S2" s="1272" t="s">
        <v>1</v>
      </c>
      <c r="T2" s="1274" t="s">
        <v>33</v>
      </c>
      <c r="U2" s="1275"/>
      <c r="V2" s="1274" t="s">
        <v>34</v>
      </c>
      <c r="W2" s="1275"/>
      <c r="X2" s="1274" t="s">
        <v>35</v>
      </c>
      <c r="Y2" s="1275"/>
      <c r="Z2" s="546"/>
      <c r="AA2" s="546"/>
      <c r="AB2" s="546"/>
      <c r="AJ2" s="390">
        <f>'TS-R1 FC'!C29</f>
        <v>1</v>
      </c>
    </row>
    <row r="3" spans="1:63" s="396" customFormat="1" ht="45.75" customHeight="1" thickBot="1">
      <c r="A3" s="1008" t="s">
        <v>514</v>
      </c>
      <c r="B3" s="1008" t="s">
        <v>515</v>
      </c>
      <c r="C3" s="1008" t="s">
        <v>516</v>
      </c>
      <c r="D3" s="1008" t="s">
        <v>517</v>
      </c>
      <c r="E3" s="1008" t="s">
        <v>518</v>
      </c>
      <c r="F3" s="1008" t="s">
        <v>519</v>
      </c>
      <c r="G3" s="1009"/>
      <c r="H3" s="1009"/>
      <c r="I3" s="1008" t="s">
        <v>520</v>
      </c>
      <c r="J3" s="1008" t="s">
        <v>521</v>
      </c>
      <c r="K3" s="1008" t="s">
        <v>99</v>
      </c>
      <c r="L3" s="1008" t="s">
        <v>521</v>
      </c>
      <c r="M3" s="1008" t="s">
        <v>522</v>
      </c>
      <c r="N3" s="1008" t="s">
        <v>521</v>
      </c>
      <c r="O3" s="1008" t="s">
        <v>522</v>
      </c>
      <c r="S3" s="1273"/>
      <c r="T3" s="1029" t="s">
        <v>22</v>
      </c>
      <c r="U3" s="403" t="s">
        <v>4</v>
      </c>
      <c r="V3" s="403" t="s">
        <v>22</v>
      </c>
      <c r="W3" s="403" t="s">
        <v>4</v>
      </c>
      <c r="X3" s="403" t="s">
        <v>22</v>
      </c>
      <c r="Y3" s="403" t="s">
        <v>4</v>
      </c>
      <c r="Z3" s="546"/>
      <c r="AA3" s="546"/>
      <c r="AB3" s="546"/>
      <c r="AC3" s="549"/>
      <c r="AD3" s="550"/>
      <c r="AE3" s="550"/>
      <c r="AF3" s="392"/>
      <c r="AG3" s="392" t="s">
        <v>402</v>
      </c>
      <c r="AH3" s="558">
        <f>((AH4+AH5+AH6)/3)</f>
        <v>0.46084237470355366</v>
      </c>
      <c r="AI3" s="551"/>
      <c r="AJ3" s="391" t="s">
        <v>87</v>
      </c>
      <c r="AK3" s="393" t="s">
        <v>88</v>
      </c>
      <c r="AL3" s="394" t="s">
        <v>89</v>
      </c>
      <c r="AM3" s="395"/>
      <c r="AN3" s="395"/>
      <c r="AO3" s="395"/>
      <c r="AP3" s="395"/>
      <c r="AQ3" s="395"/>
      <c r="AR3" s="395"/>
      <c r="AS3" s="395"/>
      <c r="AT3" s="395"/>
      <c r="AU3" s="395"/>
      <c r="AV3" s="395"/>
      <c r="AW3" s="395"/>
      <c r="AX3" s="395"/>
      <c r="AY3" s="395"/>
      <c r="AZ3" s="395"/>
      <c r="BA3" s="395"/>
      <c r="BB3" s="395"/>
      <c r="BC3" s="395"/>
      <c r="BD3" s="395"/>
      <c r="BE3" s="395"/>
      <c r="BF3" s="395"/>
      <c r="BG3" s="395"/>
      <c r="BH3" s="395"/>
      <c r="BI3" s="395"/>
      <c r="BJ3" s="395"/>
      <c r="BK3" s="395"/>
    </row>
    <row r="4" spans="1:63" ht="20.25" customHeight="1">
      <c r="A4" s="1010">
        <v>43101</v>
      </c>
      <c r="B4" s="1011">
        <v>24073</v>
      </c>
      <c r="C4" s="1011">
        <v>91000</v>
      </c>
      <c r="D4" s="1012">
        <v>55</v>
      </c>
      <c r="E4" s="1013">
        <f t="shared" ref="E4:E11" si="0">B4/(C4*D4/100)</f>
        <v>0.48097902097902095</v>
      </c>
      <c r="F4" s="1014">
        <f t="shared" ref="F4:F11" si="1">0.2725/E4</f>
        <v>0.56655277697004947</v>
      </c>
      <c r="G4"/>
      <c r="H4"/>
      <c r="I4" s="1015">
        <v>1</v>
      </c>
      <c r="J4" s="1016">
        <v>795.09942586674038</v>
      </c>
      <c r="K4" s="1017">
        <v>234436.28408462374</v>
      </c>
      <c r="L4" s="1016">
        <v>1192.6491388001104</v>
      </c>
      <c r="M4" s="1017">
        <v>549623.26131279115</v>
      </c>
      <c r="N4" s="1016">
        <v>1192.6491388001104</v>
      </c>
      <c r="O4" s="1017">
        <v>549623.26131279115</v>
      </c>
      <c r="S4" s="404">
        <v>1</v>
      </c>
      <c r="T4" s="987">
        <f>N4</f>
        <v>1192.6491388001104</v>
      </c>
      <c r="U4" s="986">
        <v>549623.26131279115</v>
      </c>
      <c r="V4" s="603">
        <v>0</v>
      </c>
      <c r="W4" s="598">
        <f t="shared" ref="W4:W33" si="2">V4*$AL$1*1000</f>
        <v>0</v>
      </c>
      <c r="X4" s="406">
        <f>AE4</f>
        <v>2.8488914177080971</v>
      </c>
      <c r="Y4" s="554">
        <f t="shared" ref="Y4:Y33" si="3">X4*$AH$3*1000</f>
        <v>1312.889886209173</v>
      </c>
      <c r="Z4" s="547"/>
      <c r="AA4" s="555">
        <f t="shared" ref="AA4:AA33" si="4">U4+W4+Y4</f>
        <v>550936.15119900031</v>
      </c>
      <c r="AB4" s="547"/>
      <c r="AC4" s="398">
        <v>795.09942586674038</v>
      </c>
      <c r="AD4" s="398"/>
      <c r="AE4" s="398">
        <v>2.8488914177080971</v>
      </c>
      <c r="AF4" s="397"/>
      <c r="AG4" s="397">
        <v>558187.26960994431</v>
      </c>
      <c r="AH4" s="552">
        <v>0.48234904399811845</v>
      </c>
      <c r="AI4" s="552"/>
      <c r="AJ4" s="398">
        <v>234436.28408462374</v>
      </c>
      <c r="AK4" s="398">
        <v>0</v>
      </c>
      <c r="AL4" s="398">
        <v>840</v>
      </c>
      <c r="AM4" s="397"/>
      <c r="AN4" s="397"/>
      <c r="AO4" s="397"/>
      <c r="AP4" s="397"/>
      <c r="AQ4" s="397"/>
      <c r="AR4" s="397"/>
      <c r="AS4" s="397"/>
      <c r="AT4" s="397"/>
      <c r="AU4" s="397"/>
      <c r="AV4" s="397"/>
      <c r="AW4" s="397"/>
      <c r="AX4" s="397"/>
      <c r="AY4" s="397"/>
      <c r="AZ4" s="397"/>
      <c r="BA4" s="397"/>
      <c r="BB4" s="397"/>
      <c r="BC4" s="397"/>
      <c r="BD4" s="397"/>
      <c r="BE4" s="397"/>
      <c r="BF4" s="397"/>
      <c r="BG4" s="397"/>
      <c r="BH4" s="397"/>
      <c r="BI4" s="397"/>
      <c r="BJ4" s="397"/>
      <c r="BK4" s="397"/>
    </row>
    <row r="5" spans="1:63" ht="20.25" customHeight="1">
      <c r="A5" s="1010">
        <v>43132</v>
      </c>
      <c r="B5" s="1011">
        <v>23987</v>
      </c>
      <c r="C5" s="1011">
        <v>81200</v>
      </c>
      <c r="D5" s="1012">
        <v>55</v>
      </c>
      <c r="E5" s="1013">
        <f t="shared" si="0"/>
        <v>0.537102552619794</v>
      </c>
      <c r="F5" s="1014">
        <f t="shared" si="1"/>
        <v>0.507351898945262</v>
      </c>
      <c r="G5"/>
      <c r="H5"/>
      <c r="I5" s="1015">
        <v>2</v>
      </c>
      <c r="J5" s="1016">
        <v>751.38796732721698</v>
      </c>
      <c r="K5" s="1017">
        <v>221547.89355314514</v>
      </c>
      <c r="L5" s="1016">
        <v>1127.0819509908256</v>
      </c>
      <c r="M5" s="1017">
        <v>519407.12278012629</v>
      </c>
      <c r="N5" s="1016">
        <v>1127.0819509908256</v>
      </c>
      <c r="O5" s="1017">
        <v>519407.12278012629</v>
      </c>
      <c r="S5" s="407">
        <v>2</v>
      </c>
      <c r="T5" s="987">
        <f t="shared" ref="T5:T33" si="5">N5</f>
        <v>1127.0819509908256</v>
      </c>
      <c r="U5" s="986">
        <v>519407.12278012629</v>
      </c>
      <c r="V5" s="603">
        <v>0</v>
      </c>
      <c r="W5" s="598">
        <f t="shared" si="2"/>
        <v>0</v>
      </c>
      <c r="X5" s="408">
        <f t="shared" ref="X5:X33" si="6">AE5</f>
        <v>2.8488914177080971</v>
      </c>
      <c r="Y5" s="554">
        <f t="shared" si="3"/>
        <v>1312.889886209173</v>
      </c>
      <c r="Z5" s="547"/>
      <c r="AA5" s="556">
        <f t="shared" si="4"/>
        <v>520720.01266633545</v>
      </c>
      <c r="AB5" s="547"/>
      <c r="AC5" s="398">
        <v>751.38796732721698</v>
      </c>
      <c r="AD5" s="398"/>
      <c r="AE5" s="398">
        <v>2.8488914177080971</v>
      </c>
      <c r="AF5" s="397"/>
      <c r="AG5" s="397">
        <v>461605.10519704677</v>
      </c>
      <c r="AH5" s="552">
        <v>0.40988949151404214</v>
      </c>
      <c r="AI5" s="552"/>
      <c r="AJ5" s="398">
        <v>221547.89355314514</v>
      </c>
      <c r="AK5" s="398">
        <v>0</v>
      </c>
      <c r="AL5" s="398">
        <v>840</v>
      </c>
      <c r="AM5" s="399"/>
      <c r="AN5" s="399"/>
      <c r="AO5" s="399"/>
      <c r="AP5" s="399"/>
      <c r="AQ5" s="399"/>
      <c r="AR5" s="399"/>
      <c r="AS5" s="399"/>
      <c r="AT5" s="399"/>
      <c r="AU5" s="399"/>
      <c r="AV5" s="399"/>
      <c r="AW5" s="399"/>
      <c r="AX5" s="399"/>
      <c r="AY5" s="399"/>
      <c r="AZ5" s="399"/>
      <c r="BA5" s="399"/>
      <c r="BB5" s="399"/>
      <c r="BC5" s="399"/>
      <c r="BD5" s="399"/>
      <c r="BE5" s="399"/>
      <c r="BF5" s="399"/>
      <c r="BG5" s="399"/>
      <c r="BH5" s="399"/>
      <c r="BI5" s="399"/>
      <c r="BJ5" s="399"/>
      <c r="BK5" s="399"/>
    </row>
    <row r="6" spans="1:63" ht="20.25" customHeight="1">
      <c r="A6" s="1010">
        <v>43160</v>
      </c>
      <c r="B6" s="1011">
        <v>22037</v>
      </c>
      <c r="C6" s="1011">
        <v>83500</v>
      </c>
      <c r="D6" s="1012">
        <v>55</v>
      </c>
      <c r="E6" s="1013">
        <f t="shared" si="0"/>
        <v>0.47984757757212848</v>
      </c>
      <c r="F6" s="1014">
        <f t="shared" si="1"/>
        <v>0.56788866451876396</v>
      </c>
      <c r="G6"/>
      <c r="H6"/>
      <c r="I6" s="1015">
        <v>3</v>
      </c>
      <c r="J6" s="1016">
        <v>688.53046608237889</v>
      </c>
      <c r="K6" s="1017">
        <v>203014.26299163315</v>
      </c>
      <c r="L6" s="1016">
        <v>1032.7956991235683</v>
      </c>
      <c r="M6" s="1017">
        <v>475956.02256772213</v>
      </c>
      <c r="N6" s="1016">
        <v>1032.7956991235683</v>
      </c>
      <c r="O6" s="1017">
        <v>475956.02256772213</v>
      </c>
      <c r="S6" s="407">
        <v>3</v>
      </c>
      <c r="T6" s="987">
        <f t="shared" si="5"/>
        <v>1032.7956991235683</v>
      </c>
      <c r="U6" s="986">
        <v>475956.02256772213</v>
      </c>
      <c r="V6" s="603">
        <v>0</v>
      </c>
      <c r="W6" s="598">
        <f t="shared" si="2"/>
        <v>0</v>
      </c>
      <c r="X6" s="408">
        <f t="shared" si="6"/>
        <v>2.8488914177080971</v>
      </c>
      <c r="Y6" s="554">
        <f t="shared" si="3"/>
        <v>1312.889886209173</v>
      </c>
      <c r="Z6" s="547"/>
      <c r="AA6" s="556">
        <f t="shared" si="4"/>
        <v>477268.91245393129</v>
      </c>
      <c r="AB6" s="547"/>
      <c r="AC6" s="398">
        <v>688.53046608237889</v>
      </c>
      <c r="AD6" s="398"/>
      <c r="AE6" s="398">
        <v>2.8488914177080971</v>
      </c>
      <c r="AF6" s="397"/>
      <c r="AG6" s="397">
        <v>535283.84323995048</v>
      </c>
      <c r="AH6" s="552">
        <v>0.49028858859850039</v>
      </c>
      <c r="AI6" s="552"/>
      <c r="AJ6" s="398">
        <v>203014.26299163315</v>
      </c>
      <c r="AK6" s="398">
        <v>0</v>
      </c>
      <c r="AL6" s="398">
        <v>840</v>
      </c>
      <c r="AM6" s="397"/>
      <c r="AN6" s="397"/>
      <c r="AO6" s="397"/>
      <c r="AP6" s="397"/>
      <c r="AQ6" s="397"/>
      <c r="AR6" s="397"/>
      <c r="AS6" s="397"/>
      <c r="AT6" s="397"/>
      <c r="AU6" s="397"/>
      <c r="AV6" s="397"/>
      <c r="AW6" s="397"/>
      <c r="AX6" s="397"/>
      <c r="AY6" s="397"/>
      <c r="AZ6" s="397"/>
      <c r="BA6" s="397"/>
      <c r="BB6" s="397"/>
      <c r="BC6" s="397"/>
      <c r="BD6" s="397"/>
      <c r="BE6" s="397"/>
      <c r="BF6" s="397"/>
      <c r="BG6" s="397"/>
      <c r="BH6" s="397"/>
      <c r="BI6" s="397"/>
      <c r="BJ6" s="397"/>
      <c r="BK6" s="397"/>
    </row>
    <row r="7" spans="1:63" ht="20.25" customHeight="1">
      <c r="A7" s="1010">
        <v>43191</v>
      </c>
      <c r="B7" s="1011">
        <v>25660</v>
      </c>
      <c r="C7" s="1011">
        <v>76000</v>
      </c>
      <c r="D7" s="1012">
        <v>55</v>
      </c>
      <c r="E7" s="1013">
        <f t="shared" si="0"/>
        <v>0.61387559808612435</v>
      </c>
      <c r="F7" s="1014">
        <f t="shared" si="1"/>
        <v>0.44390101325019493</v>
      </c>
      <c r="G7"/>
      <c r="H7"/>
      <c r="I7" s="1018">
        <v>4</v>
      </c>
      <c r="J7" s="1013">
        <v>647.016437070552</v>
      </c>
      <c r="K7" s="1019">
        <v>190773.78792361933</v>
      </c>
      <c r="L7" s="1013">
        <v>970.524655605828</v>
      </c>
      <c r="M7" s="1019">
        <v>447258.88699773833</v>
      </c>
      <c r="N7" s="1020">
        <f>L7*$F$14</f>
        <v>744.47500608684345</v>
      </c>
      <c r="O7" s="1019">
        <f>N7*1000*0.46084</f>
        <v>343083.86180506094</v>
      </c>
      <c r="S7" s="407">
        <v>4</v>
      </c>
      <c r="T7" s="987">
        <f t="shared" si="5"/>
        <v>744.47500608684345</v>
      </c>
      <c r="U7" s="986">
        <v>343083.86180506094</v>
      </c>
      <c r="V7" s="603">
        <v>0</v>
      </c>
      <c r="W7" s="598">
        <f t="shared" si="2"/>
        <v>0</v>
      </c>
      <c r="X7" s="408">
        <f t="shared" si="6"/>
        <v>2.8488914177080971</v>
      </c>
      <c r="Y7" s="909">
        <f t="shared" si="3"/>
        <v>1312.889886209173</v>
      </c>
      <c r="Z7" s="547"/>
      <c r="AA7" s="556">
        <f t="shared" si="4"/>
        <v>344396.7516912701</v>
      </c>
      <c r="AB7" s="547"/>
      <c r="AC7" s="400">
        <v>647.016437070552</v>
      </c>
      <c r="AE7" s="400">
        <v>2.8488914177080971</v>
      </c>
      <c r="AG7" s="397"/>
      <c r="AJ7" s="398">
        <v>190773.78792361933</v>
      </c>
      <c r="AK7" s="398">
        <v>0</v>
      </c>
      <c r="AL7" s="398">
        <v>840</v>
      </c>
      <c r="AM7" s="399"/>
      <c r="AN7" s="399"/>
      <c r="AO7" s="399"/>
      <c r="AP7" s="399"/>
      <c r="AQ7" s="399"/>
      <c r="AR7" s="399"/>
      <c r="AS7" s="399"/>
      <c r="AT7" s="399"/>
      <c r="AU7" s="399"/>
      <c r="AV7" s="399"/>
      <c r="AW7" s="399"/>
      <c r="AX7" s="399"/>
      <c r="AY7" s="399"/>
      <c r="AZ7" s="399"/>
      <c r="BA7" s="399"/>
      <c r="BB7" s="399"/>
      <c r="BC7" s="399"/>
      <c r="BD7" s="399"/>
      <c r="BE7" s="399"/>
      <c r="BF7" s="399"/>
      <c r="BG7" s="399"/>
      <c r="BH7" s="399"/>
      <c r="BI7" s="399"/>
      <c r="BJ7" s="399"/>
      <c r="BK7" s="399"/>
    </row>
    <row r="8" spans="1:63" ht="20.25" customHeight="1">
      <c r="A8" s="1010">
        <v>43221</v>
      </c>
      <c r="B8" s="1011">
        <v>24656</v>
      </c>
      <c r="C8" s="1011">
        <v>75500</v>
      </c>
      <c r="D8" s="1012">
        <v>55</v>
      </c>
      <c r="E8" s="1013">
        <f t="shared" si="0"/>
        <v>0.59376279349789285</v>
      </c>
      <c r="F8" s="1014">
        <f t="shared" si="1"/>
        <v>0.45893747972096044</v>
      </c>
      <c r="G8"/>
      <c r="H8"/>
      <c r="I8" s="1018">
        <v>5</v>
      </c>
      <c r="J8" s="1013">
        <v>611.37707515954128</v>
      </c>
      <c r="K8" s="1019">
        <v>180265.46745230665</v>
      </c>
      <c r="L8" s="1013">
        <v>917.06561273931197</v>
      </c>
      <c r="M8" s="1019">
        <v>422622.69473375403</v>
      </c>
      <c r="N8" s="1020">
        <f t="shared" ref="N8:N33" si="7">L8*$F$14</f>
        <v>703.46737064598722</v>
      </c>
      <c r="O8" s="1019">
        <f t="shared" ref="O8:O33" si="8">N8*1000*0.46084</f>
        <v>324185.90308849677</v>
      </c>
      <c r="S8" s="407">
        <v>5</v>
      </c>
      <c r="T8" s="987">
        <f t="shared" si="5"/>
        <v>703.46737064598722</v>
      </c>
      <c r="U8" s="986">
        <v>324185.90308849677</v>
      </c>
      <c r="V8" s="408">
        <f>AD8</f>
        <v>435.02358143947941</v>
      </c>
      <c r="W8" s="405">
        <f t="shared" si="2"/>
        <v>128267.36959428908</v>
      </c>
      <c r="X8" s="408">
        <f t="shared" si="6"/>
        <v>2.8488914177080971</v>
      </c>
      <c r="Y8" s="909">
        <f t="shared" si="3"/>
        <v>1312.889886209173</v>
      </c>
      <c r="Z8" s="547"/>
      <c r="AA8" s="556">
        <f t="shared" si="4"/>
        <v>453766.16256899503</v>
      </c>
      <c r="AB8" s="547"/>
      <c r="AC8" s="400">
        <v>611.37707515954128</v>
      </c>
      <c r="AD8" s="400">
        <v>435.02358143947941</v>
      </c>
      <c r="AE8" s="400">
        <v>2.8488914177080971</v>
      </c>
      <c r="AJ8" s="400">
        <v>180265.46745230665</v>
      </c>
      <c r="AK8" s="400">
        <v>128267.36959428909</v>
      </c>
      <c r="AL8" s="400">
        <v>840</v>
      </c>
    </row>
    <row r="9" spans="1:63" ht="20.25" customHeight="1">
      <c r="A9" s="1010">
        <v>43252</v>
      </c>
      <c r="B9" s="1011">
        <v>23433</v>
      </c>
      <c r="C9" s="1011">
        <v>68700</v>
      </c>
      <c r="D9" s="1012">
        <v>55</v>
      </c>
      <c r="E9" s="1013">
        <f t="shared" si="0"/>
        <v>0.62016673283048829</v>
      </c>
      <c r="F9" s="1014">
        <f t="shared" si="1"/>
        <v>0.43939796440916662</v>
      </c>
      <c r="G9"/>
      <c r="H9"/>
      <c r="I9" s="1018">
        <v>6</v>
      </c>
      <c r="J9" s="1013">
        <v>604.8564985962629</v>
      </c>
      <c r="K9" s="1019">
        <v>178342.86546084136</v>
      </c>
      <c r="L9" s="1013">
        <v>907.28474789439429</v>
      </c>
      <c r="M9" s="1019">
        <v>418115.25775196764</v>
      </c>
      <c r="N9" s="1020">
        <f t="shared" si="7"/>
        <v>695.96461492216758</v>
      </c>
      <c r="O9" s="1019">
        <f t="shared" si="8"/>
        <v>320728.33314073173</v>
      </c>
      <c r="S9" s="407">
        <v>6</v>
      </c>
      <c r="T9" s="987">
        <f t="shared" si="5"/>
        <v>695.96461492216758</v>
      </c>
      <c r="U9" s="986">
        <v>320728.33314073173</v>
      </c>
      <c r="V9" s="408">
        <f t="shared" ref="V9:V33" si="9">AD9</f>
        <v>442.47064533568033</v>
      </c>
      <c r="W9" s="405">
        <f t="shared" si="2"/>
        <v>130463.14779556615</v>
      </c>
      <c r="X9" s="408">
        <f t="shared" si="6"/>
        <v>2.8488914177080971</v>
      </c>
      <c r="Y9" s="909">
        <f t="shared" si="3"/>
        <v>1312.889886209173</v>
      </c>
      <c r="Z9" s="547"/>
      <c r="AA9" s="556">
        <f t="shared" si="4"/>
        <v>452504.37082250707</v>
      </c>
      <c r="AB9" s="547"/>
      <c r="AC9" s="400">
        <v>604.8564985962629</v>
      </c>
      <c r="AD9" s="400">
        <v>442.47064533568033</v>
      </c>
      <c r="AE9" s="400">
        <v>2.8488914177080971</v>
      </c>
      <c r="AJ9" s="400">
        <v>178342.86546084136</v>
      </c>
      <c r="AK9" s="400">
        <v>130463.14779556615</v>
      </c>
      <c r="AL9" s="400">
        <v>840</v>
      </c>
    </row>
    <row r="10" spans="1:63" ht="20.25" customHeight="1">
      <c r="A10" s="1010">
        <v>43282</v>
      </c>
      <c r="B10" s="1011">
        <v>20125</v>
      </c>
      <c r="C10" s="1011">
        <v>69600</v>
      </c>
      <c r="D10" s="1012">
        <v>55</v>
      </c>
      <c r="E10" s="1013">
        <f t="shared" si="0"/>
        <v>0.52573145245559039</v>
      </c>
      <c r="F10" s="1014">
        <f t="shared" si="1"/>
        <v>0.51832546583850936</v>
      </c>
      <c r="G10"/>
      <c r="H10"/>
      <c r="I10" s="1018">
        <v>7</v>
      </c>
      <c r="J10" s="1013">
        <v>589.33202576527503</v>
      </c>
      <c r="K10" s="1019">
        <v>173765.45085775314</v>
      </c>
      <c r="L10" s="1013">
        <v>883.99803864791261</v>
      </c>
      <c r="M10" s="1019">
        <v>407383.75536378782</v>
      </c>
      <c r="N10" s="1020">
        <f t="shared" si="7"/>
        <v>678.10172714504552</v>
      </c>
      <c r="O10" s="1019">
        <f t="shared" si="8"/>
        <v>312496.39993752277</v>
      </c>
      <c r="S10" s="407">
        <v>7</v>
      </c>
      <c r="T10" s="987">
        <f t="shared" si="5"/>
        <v>678.10172714504552</v>
      </c>
      <c r="U10" s="986">
        <v>312496.39993752277</v>
      </c>
      <c r="V10" s="408">
        <f t="shared" si="9"/>
        <v>449.93138399557938</v>
      </c>
      <c r="W10" s="405">
        <f t="shared" si="2"/>
        <v>132662.9580218741</v>
      </c>
      <c r="X10" s="408">
        <f t="shared" si="6"/>
        <v>2.8488914177080971</v>
      </c>
      <c r="Y10" s="909">
        <f t="shared" si="3"/>
        <v>1312.889886209173</v>
      </c>
      <c r="Z10" s="547"/>
      <c r="AA10" s="556">
        <f t="shared" si="4"/>
        <v>446472.24784560606</v>
      </c>
      <c r="AB10" s="547"/>
      <c r="AC10" s="400">
        <v>589.33202576527503</v>
      </c>
      <c r="AD10" s="400">
        <v>449.93138399557938</v>
      </c>
      <c r="AE10" s="400">
        <v>2.8488914177080971</v>
      </c>
      <c r="AJ10" s="400">
        <v>173765.45085775314</v>
      </c>
      <c r="AK10" s="400">
        <v>132662.9580218741</v>
      </c>
      <c r="AL10" s="400">
        <v>840</v>
      </c>
    </row>
    <row r="11" spans="1:63" ht="20.25" customHeight="1">
      <c r="A11" s="1007" t="s">
        <v>523</v>
      </c>
      <c r="B11" s="1021">
        <f>AVERAGE(B4:B10)</f>
        <v>23424.428571428572</v>
      </c>
      <c r="C11" s="1021">
        <f>AVERAGE(C4:C10)</f>
        <v>77928.571428571435</v>
      </c>
      <c r="D11" s="1022">
        <f>AVERAGE(D4:D10)</f>
        <v>55</v>
      </c>
      <c r="E11" s="1023">
        <f t="shared" si="0"/>
        <v>0.54652445629530866</v>
      </c>
      <c r="F11" s="1024">
        <f t="shared" si="1"/>
        <v>0.49860531740368735</v>
      </c>
      <c r="G11"/>
      <c r="H11"/>
      <c r="I11" s="1018">
        <v>8</v>
      </c>
      <c r="J11" s="1013">
        <v>574.62463045170716</v>
      </c>
      <c r="K11" s="1019">
        <v>169428.95281272207</v>
      </c>
      <c r="L11" s="1013">
        <v>861.93694567756074</v>
      </c>
      <c r="M11" s="1019">
        <v>397217.06889077503</v>
      </c>
      <c r="N11" s="1020">
        <f t="shared" si="7"/>
        <v>661.17899135619234</v>
      </c>
      <c r="O11" s="1019">
        <f t="shared" si="8"/>
        <v>304697.7263765877</v>
      </c>
      <c r="S11" s="407">
        <v>8</v>
      </c>
      <c r="T11" s="987">
        <f t="shared" si="5"/>
        <v>661.17899135619234</v>
      </c>
      <c r="U11" s="986">
        <v>304697.7263765877</v>
      </c>
      <c r="V11" s="408">
        <f t="shared" si="9"/>
        <v>575.55502628469856</v>
      </c>
      <c r="W11" s="405">
        <f t="shared" si="2"/>
        <v>169703.28144976834</v>
      </c>
      <c r="X11" s="408">
        <f t="shared" si="6"/>
        <v>2.8488914177080971</v>
      </c>
      <c r="Y11" s="909">
        <f t="shared" si="3"/>
        <v>1312.889886209173</v>
      </c>
      <c r="Z11" s="547"/>
      <c r="AA11" s="556">
        <f t="shared" si="4"/>
        <v>475713.8977125652</v>
      </c>
      <c r="AB11" s="547"/>
      <c r="AC11" s="400">
        <v>574.62463045170716</v>
      </c>
      <c r="AD11" s="400">
        <v>575.55502628469856</v>
      </c>
      <c r="AE11" s="400">
        <v>2.8488914177080971</v>
      </c>
      <c r="AJ11" s="400">
        <v>169428.95281272207</v>
      </c>
      <c r="AK11" s="400">
        <v>169703.28144976834</v>
      </c>
      <c r="AL11" s="400">
        <v>840</v>
      </c>
    </row>
    <row r="12" spans="1:63" ht="20.25" customHeight="1">
      <c r="A12"/>
      <c r="B12"/>
      <c r="C12"/>
      <c r="D12"/>
      <c r="E12"/>
      <c r="F12"/>
      <c r="G12"/>
      <c r="H12"/>
      <c r="I12" s="1018">
        <v>9</v>
      </c>
      <c r="J12" s="1013">
        <v>560.67146053883562</v>
      </c>
      <c r="K12" s="1019">
        <v>165314.8392828209</v>
      </c>
      <c r="L12" s="1013">
        <v>841.00719080825343</v>
      </c>
      <c r="M12" s="1019">
        <v>387571.75095484016</v>
      </c>
      <c r="N12" s="1020">
        <f t="shared" si="7"/>
        <v>645.12408817189635</v>
      </c>
      <c r="O12" s="1019">
        <f t="shared" si="8"/>
        <v>297298.98479313671</v>
      </c>
      <c r="S12" s="407">
        <v>9</v>
      </c>
      <c r="T12" s="987">
        <f t="shared" si="5"/>
        <v>645.12408817189635</v>
      </c>
      <c r="U12" s="986">
        <v>297298.98479313671</v>
      </c>
      <c r="V12" s="408">
        <f t="shared" si="9"/>
        <v>626.75717137488232</v>
      </c>
      <c r="W12" s="405">
        <f t="shared" si="2"/>
        <v>184800.31238903641</v>
      </c>
      <c r="X12" s="408">
        <f t="shared" si="6"/>
        <v>2.8488914177080971</v>
      </c>
      <c r="Y12" s="909">
        <f t="shared" si="3"/>
        <v>1312.889886209173</v>
      </c>
      <c r="Z12" s="547"/>
      <c r="AA12" s="556">
        <f t="shared" si="4"/>
        <v>483412.18706838228</v>
      </c>
      <c r="AB12" s="547"/>
      <c r="AC12" s="400">
        <v>560.67146053883562</v>
      </c>
      <c r="AD12" s="400">
        <v>626.75717137488232</v>
      </c>
      <c r="AE12" s="400">
        <v>2.8488914177080971</v>
      </c>
      <c r="AJ12" s="400">
        <v>165314.8392828209</v>
      </c>
      <c r="AK12" s="400">
        <v>184800.31238903641</v>
      </c>
      <c r="AL12" s="400">
        <v>840</v>
      </c>
    </row>
    <row r="13" spans="1:63" ht="20.25" customHeight="1">
      <c r="A13"/>
      <c r="B13"/>
      <c r="C13"/>
      <c r="D13"/>
      <c r="E13" s="1025" t="s">
        <v>524</v>
      </c>
      <c r="F13" s="1028">
        <v>0.65</v>
      </c>
      <c r="G13"/>
      <c r="H13"/>
      <c r="I13" s="1018">
        <v>10</v>
      </c>
      <c r="J13" s="1013">
        <v>547.45641927173403</v>
      </c>
      <c r="K13" s="1019">
        <v>161418.36411519392</v>
      </c>
      <c r="L13" s="1013">
        <v>821.18462890760111</v>
      </c>
      <c r="M13" s="1019">
        <v>378436.67445583537</v>
      </c>
      <c r="N13" s="1020">
        <f t="shared" si="7"/>
        <v>629.91849622077484</v>
      </c>
      <c r="O13" s="1019">
        <f t="shared" si="8"/>
        <v>290291.63979838189</v>
      </c>
      <c r="S13" s="407">
        <v>10</v>
      </c>
      <c r="T13" s="987">
        <f t="shared" si="5"/>
        <v>629.91849622077484</v>
      </c>
      <c r="U13" s="986">
        <v>290291.63979838189</v>
      </c>
      <c r="V13" s="408">
        <f t="shared" si="9"/>
        <v>670.97522180169562</v>
      </c>
      <c r="W13" s="405">
        <f t="shared" si="2"/>
        <v>197838.07231475672</v>
      </c>
      <c r="X13" s="408">
        <f t="shared" si="6"/>
        <v>2.8488914177080971</v>
      </c>
      <c r="Y13" s="909">
        <f t="shared" si="3"/>
        <v>1312.889886209173</v>
      </c>
      <c r="Z13" s="547"/>
      <c r="AA13" s="556">
        <f t="shared" si="4"/>
        <v>489442.6019993478</v>
      </c>
      <c r="AB13" s="547"/>
      <c r="AC13" s="400">
        <v>547.45641927173403</v>
      </c>
      <c r="AD13" s="400">
        <v>670.97522180169562</v>
      </c>
      <c r="AE13" s="400">
        <v>2.8488914177080971</v>
      </c>
      <c r="AJ13" s="400">
        <v>161418.36411519392</v>
      </c>
      <c r="AK13" s="400">
        <v>197838.07231475675</v>
      </c>
      <c r="AL13" s="400">
        <v>840</v>
      </c>
    </row>
    <row r="14" spans="1:63" ht="20.25" customHeight="1">
      <c r="A14"/>
      <c r="B14"/>
      <c r="C14"/>
      <c r="D14"/>
      <c r="E14" s="1025" t="s">
        <v>525</v>
      </c>
      <c r="F14" s="1026">
        <f>F11/F13</f>
        <v>0.76708510369798055</v>
      </c>
      <c r="G14"/>
      <c r="H14"/>
      <c r="I14" s="1018">
        <v>11</v>
      </c>
      <c r="J14" s="1013">
        <v>548.31569224187592</v>
      </c>
      <c r="K14" s="1019">
        <v>161671.72206714415</v>
      </c>
      <c r="L14" s="1013">
        <v>822.47353836281388</v>
      </c>
      <c r="M14" s="1019">
        <v>379030.65854995348</v>
      </c>
      <c r="N14" s="1020">
        <f t="shared" si="7"/>
        <v>630.90719946388413</v>
      </c>
      <c r="O14" s="1019">
        <f t="shared" si="8"/>
        <v>290747.27380093635</v>
      </c>
      <c r="S14" s="407">
        <v>11</v>
      </c>
      <c r="T14" s="987">
        <f t="shared" si="5"/>
        <v>630.90719946388413</v>
      </c>
      <c r="U14" s="986">
        <v>290747.27380093635</v>
      </c>
      <c r="V14" s="408">
        <f t="shared" si="9"/>
        <v>672.02904042345995</v>
      </c>
      <c r="W14" s="405">
        <f t="shared" si="2"/>
        <v>198148.79235019922</v>
      </c>
      <c r="X14" s="408">
        <f t="shared" si="6"/>
        <v>2.8488914177080971</v>
      </c>
      <c r="Y14" s="909">
        <f t="shared" si="3"/>
        <v>1312.889886209173</v>
      </c>
      <c r="Z14" s="547"/>
      <c r="AA14" s="556">
        <f t="shared" si="4"/>
        <v>490208.95603734476</v>
      </c>
      <c r="AB14" s="547"/>
      <c r="AC14" s="400">
        <v>548.31569224187592</v>
      </c>
      <c r="AD14" s="400">
        <v>672.02904042345995</v>
      </c>
      <c r="AE14" s="400">
        <v>2.8488914177080971</v>
      </c>
      <c r="AJ14" s="400">
        <v>161671.72206714415</v>
      </c>
      <c r="AK14" s="400">
        <v>198148.79235019922</v>
      </c>
      <c r="AL14" s="400">
        <v>840</v>
      </c>
    </row>
    <row r="15" spans="1:63" ht="20.25" customHeight="1">
      <c r="A15"/>
      <c r="B15"/>
      <c r="C15"/>
      <c r="D15"/>
      <c r="E15"/>
      <c r="F15"/>
      <c r="G15"/>
      <c r="H15"/>
      <c r="I15" s="1018">
        <v>12</v>
      </c>
      <c r="J15" s="1013">
        <v>549.1077194734346</v>
      </c>
      <c r="K15" s="1019">
        <v>161905.25251002939</v>
      </c>
      <c r="L15" s="1013">
        <v>823.6615792101519</v>
      </c>
      <c r="M15" s="1019">
        <v>379578.15811528557</v>
      </c>
      <c r="N15" s="1020">
        <f t="shared" si="7"/>
        <v>631.81852790046185</v>
      </c>
      <c r="O15" s="1019">
        <f t="shared" si="8"/>
        <v>291167.25039764884</v>
      </c>
      <c r="S15" s="407">
        <v>12</v>
      </c>
      <c r="T15" s="987">
        <f t="shared" si="5"/>
        <v>631.81852790046185</v>
      </c>
      <c r="U15" s="986">
        <v>291167.25039764884</v>
      </c>
      <c r="V15" s="408">
        <f t="shared" si="9"/>
        <v>673.01809557848901</v>
      </c>
      <c r="W15" s="405">
        <f t="shared" si="2"/>
        <v>198440.41677823471</v>
      </c>
      <c r="X15" s="408">
        <f t="shared" si="6"/>
        <v>2.8488914177080971</v>
      </c>
      <c r="Y15" s="909">
        <f t="shared" si="3"/>
        <v>1312.889886209173</v>
      </c>
      <c r="Z15" s="547"/>
      <c r="AA15" s="556">
        <f t="shared" si="4"/>
        <v>490920.5570620927</v>
      </c>
      <c r="AB15" s="547"/>
      <c r="AC15" s="400">
        <v>549.1077194734346</v>
      </c>
      <c r="AD15" s="400">
        <v>673.01809557848901</v>
      </c>
      <c r="AE15" s="400">
        <v>2.8488914177080971</v>
      </c>
      <c r="AJ15" s="400">
        <v>161905.25251002939</v>
      </c>
      <c r="AK15" s="400">
        <v>198440.41677823471</v>
      </c>
      <c r="AL15" s="400">
        <v>840</v>
      </c>
    </row>
    <row r="16" spans="1:63" ht="20.25" customHeight="1">
      <c r="A16"/>
      <c r="B16"/>
      <c r="C16"/>
      <c r="D16"/>
      <c r="E16"/>
      <c r="F16"/>
      <c r="G16"/>
      <c r="H16"/>
      <c r="I16" s="1018">
        <v>13</v>
      </c>
      <c r="J16" s="1013">
        <v>549.89974670499316</v>
      </c>
      <c r="K16" s="1019">
        <v>162138.78295291457</v>
      </c>
      <c r="L16" s="1013">
        <v>824.8496200574898</v>
      </c>
      <c r="M16" s="1019">
        <v>380125.65768061759</v>
      </c>
      <c r="N16" s="1020">
        <f t="shared" si="7"/>
        <v>632.72985633703945</v>
      </c>
      <c r="O16" s="1019">
        <f t="shared" si="8"/>
        <v>291587.22699436132</v>
      </c>
      <c r="S16" s="407">
        <v>13</v>
      </c>
      <c r="T16" s="987">
        <f t="shared" si="5"/>
        <v>632.72985633703945</v>
      </c>
      <c r="U16" s="986">
        <v>291587.22699436132</v>
      </c>
      <c r="V16" s="408">
        <f t="shared" si="9"/>
        <v>673.98207164791063</v>
      </c>
      <c r="W16" s="405">
        <f t="shared" si="2"/>
        <v>198724.64659944901</v>
      </c>
      <c r="X16" s="408">
        <f t="shared" si="6"/>
        <v>2.8488914177080971</v>
      </c>
      <c r="Y16" s="909">
        <f t="shared" si="3"/>
        <v>1312.889886209173</v>
      </c>
      <c r="Z16" s="547"/>
      <c r="AA16" s="556">
        <f t="shared" si="4"/>
        <v>491624.76348001952</v>
      </c>
      <c r="AB16" s="547"/>
      <c r="AC16" s="400">
        <v>549.89974670499316</v>
      </c>
      <c r="AD16" s="400">
        <v>673.98207164791063</v>
      </c>
      <c r="AE16" s="400">
        <v>2.8488914177080971</v>
      </c>
      <c r="AJ16" s="400">
        <v>162138.78295291457</v>
      </c>
      <c r="AK16" s="400">
        <v>198724.64659944904</v>
      </c>
      <c r="AL16" s="400">
        <v>840</v>
      </c>
    </row>
    <row r="17" spans="1:63" ht="20.25" customHeight="1">
      <c r="A17"/>
      <c r="B17"/>
      <c r="C17"/>
      <c r="D17"/>
      <c r="E17"/>
      <c r="F17"/>
      <c r="G17"/>
      <c r="H17"/>
      <c r="I17" s="1018">
        <v>14</v>
      </c>
      <c r="J17" s="1013">
        <v>550.69177393655161</v>
      </c>
      <c r="K17" s="1019">
        <v>162372.31339579975</v>
      </c>
      <c r="L17" s="1013">
        <v>826.03766090482736</v>
      </c>
      <c r="M17" s="1019">
        <v>380673.15724594943</v>
      </c>
      <c r="N17" s="1020">
        <f t="shared" si="7"/>
        <v>633.64118477361683</v>
      </c>
      <c r="O17" s="1019">
        <f t="shared" si="8"/>
        <v>292007.20359107363</v>
      </c>
      <c r="S17" s="407">
        <v>14</v>
      </c>
      <c r="T17" s="987">
        <f t="shared" si="5"/>
        <v>633.64118477361683</v>
      </c>
      <c r="U17" s="986">
        <v>292007.20359107363</v>
      </c>
      <c r="V17" s="408">
        <f t="shared" si="9"/>
        <v>674.94604771733214</v>
      </c>
      <c r="W17" s="405">
        <f t="shared" si="2"/>
        <v>199008.87642066332</v>
      </c>
      <c r="X17" s="408">
        <f t="shared" si="6"/>
        <v>2.8488914177080971</v>
      </c>
      <c r="Y17" s="909">
        <f t="shared" si="3"/>
        <v>1312.889886209173</v>
      </c>
      <c r="Z17" s="547"/>
      <c r="AA17" s="556">
        <f t="shared" si="4"/>
        <v>492328.96989794611</v>
      </c>
      <c r="AB17" s="547"/>
      <c r="AC17" s="400">
        <v>550.69177393655161</v>
      </c>
      <c r="AD17" s="400">
        <v>674.94604771733214</v>
      </c>
      <c r="AE17" s="400">
        <v>2.8488914177080971</v>
      </c>
      <c r="AJ17" s="400">
        <v>162372.31339579975</v>
      </c>
      <c r="AK17" s="400">
        <v>199008.87642066332</v>
      </c>
      <c r="AL17" s="400">
        <v>840</v>
      </c>
    </row>
    <row r="18" spans="1:63" ht="20.25" customHeight="1">
      <c r="A18"/>
      <c r="B18"/>
      <c r="C18"/>
      <c r="D18"/>
      <c r="E18"/>
      <c r="F18"/>
      <c r="G18"/>
      <c r="H18"/>
      <c r="I18" s="1018">
        <v>15</v>
      </c>
      <c r="J18" s="1013">
        <v>551.48380116811018</v>
      </c>
      <c r="K18" s="1019">
        <v>162605.84383868493</v>
      </c>
      <c r="L18" s="1013">
        <v>827.22570175216526</v>
      </c>
      <c r="M18" s="1019">
        <v>381220.65681128146</v>
      </c>
      <c r="N18" s="1020">
        <f t="shared" si="7"/>
        <v>634.55251321019443</v>
      </c>
      <c r="O18" s="1019">
        <f t="shared" si="8"/>
        <v>292427.180187786</v>
      </c>
      <c r="S18" s="407">
        <v>15</v>
      </c>
      <c r="T18" s="987">
        <f t="shared" si="5"/>
        <v>634.55251321019443</v>
      </c>
      <c r="U18" s="986">
        <v>292427.180187786</v>
      </c>
      <c r="V18" s="408">
        <f t="shared" si="9"/>
        <v>675.91002378675364</v>
      </c>
      <c r="W18" s="405">
        <f t="shared" si="2"/>
        <v>199293.10624187757</v>
      </c>
      <c r="X18" s="408">
        <f t="shared" si="6"/>
        <v>2.8488914177080971</v>
      </c>
      <c r="Y18" s="909">
        <f t="shared" si="3"/>
        <v>1312.889886209173</v>
      </c>
      <c r="Z18" s="547"/>
      <c r="AA18" s="556">
        <f t="shared" si="4"/>
        <v>493033.1763158727</v>
      </c>
      <c r="AB18" s="547"/>
      <c r="AC18" s="400">
        <v>551.48380116811018</v>
      </c>
      <c r="AD18" s="400">
        <v>675.91002378675364</v>
      </c>
      <c r="AE18" s="400">
        <v>2.8488914177080971</v>
      </c>
      <c r="AJ18" s="400">
        <v>162605.84383868493</v>
      </c>
      <c r="AK18" s="400">
        <v>199293.1062418776</v>
      </c>
      <c r="AL18" s="400">
        <v>840</v>
      </c>
    </row>
    <row r="19" spans="1:63" ht="20.25" customHeight="1">
      <c r="A19"/>
      <c r="B19"/>
      <c r="C19"/>
      <c r="D19"/>
      <c r="E19"/>
      <c r="F19"/>
      <c r="G19"/>
      <c r="H19"/>
      <c r="I19" s="1018">
        <v>16</v>
      </c>
      <c r="J19" s="1013">
        <v>552.11578840381526</v>
      </c>
      <c r="K19" s="1019">
        <v>162792.186243556</v>
      </c>
      <c r="L19" s="1013">
        <v>828.17368260572289</v>
      </c>
      <c r="M19" s="1019">
        <v>381657.52655900846</v>
      </c>
      <c r="N19" s="1020">
        <f t="shared" si="7"/>
        <v>635.27969520154943</v>
      </c>
      <c r="O19" s="1019">
        <f t="shared" si="8"/>
        <v>292762.29473668209</v>
      </c>
      <c r="S19" s="407">
        <v>16</v>
      </c>
      <c r="T19" s="987">
        <f t="shared" si="5"/>
        <v>635.27969520154943</v>
      </c>
      <c r="U19" s="986">
        <v>292762.29473668209</v>
      </c>
      <c r="V19" s="408">
        <f t="shared" si="9"/>
        <v>676.73663811920494</v>
      </c>
      <c r="W19" s="405">
        <f t="shared" si="2"/>
        <v>199536.83474446044</v>
      </c>
      <c r="X19" s="408">
        <f t="shared" si="6"/>
        <v>2.8488914177080971</v>
      </c>
      <c r="Y19" s="909">
        <f t="shared" si="3"/>
        <v>1312.889886209173</v>
      </c>
      <c r="Z19" s="547"/>
      <c r="AA19" s="556">
        <f t="shared" si="4"/>
        <v>493612.01936735166</v>
      </c>
      <c r="AB19" s="547"/>
      <c r="AC19" s="400">
        <v>552.11578840381526</v>
      </c>
      <c r="AD19" s="400">
        <v>676.73663811920494</v>
      </c>
      <c r="AE19" s="400">
        <v>2.8488914177080971</v>
      </c>
      <c r="AJ19" s="400">
        <v>162792.186243556</v>
      </c>
      <c r="AK19" s="400">
        <v>199536.83474446042</v>
      </c>
      <c r="AL19" s="400">
        <v>840</v>
      </c>
    </row>
    <row r="20" spans="1:63" ht="20.25" customHeight="1">
      <c r="A20"/>
      <c r="B20"/>
      <c r="C20"/>
      <c r="D20"/>
      <c r="E20"/>
      <c r="F20"/>
      <c r="G20"/>
      <c r="H20"/>
      <c r="I20" s="1018">
        <v>17</v>
      </c>
      <c r="J20" s="1013">
        <v>552.76024313142159</v>
      </c>
      <c r="K20" s="1019">
        <v>162982.20470751869</v>
      </c>
      <c r="L20" s="1013">
        <v>829.14036469713233</v>
      </c>
      <c r="M20" s="1019">
        <v>382103.01462959702</v>
      </c>
      <c r="N20" s="1020">
        <f t="shared" si="7"/>
        <v>636.02122263388117</v>
      </c>
      <c r="O20" s="1019">
        <f t="shared" si="8"/>
        <v>293104.02023859782</v>
      </c>
      <c r="S20" s="407">
        <v>17</v>
      </c>
      <c r="T20" s="987">
        <f t="shared" si="5"/>
        <v>636.02122263388117</v>
      </c>
      <c r="U20" s="986">
        <v>293104.02023859782</v>
      </c>
      <c r="V20" s="408">
        <f t="shared" si="9"/>
        <v>677.52492106094542</v>
      </c>
      <c r="W20" s="405">
        <f t="shared" si="2"/>
        <v>199769.26117775519</v>
      </c>
      <c r="X20" s="408">
        <f t="shared" si="6"/>
        <v>2.8488914177080971</v>
      </c>
      <c r="Y20" s="909">
        <f t="shared" si="3"/>
        <v>1312.889886209173</v>
      </c>
      <c r="Z20" s="547"/>
      <c r="AA20" s="556">
        <f t="shared" si="4"/>
        <v>494186.17130256217</v>
      </c>
      <c r="AB20" s="547"/>
      <c r="AC20" s="400">
        <v>552.76024313142159</v>
      </c>
      <c r="AD20" s="400">
        <v>677.52492106094542</v>
      </c>
      <c r="AE20" s="400">
        <v>2.8488914177080971</v>
      </c>
      <c r="AJ20" s="400">
        <v>162982.20470751869</v>
      </c>
      <c r="AK20" s="400">
        <v>199769.26117775519</v>
      </c>
      <c r="AL20" s="400">
        <v>840</v>
      </c>
    </row>
    <row r="21" spans="1:63" ht="20.25" customHeight="1">
      <c r="A21"/>
      <c r="B21"/>
      <c r="C21"/>
      <c r="D21"/>
      <c r="E21"/>
      <c r="F21"/>
      <c r="G21"/>
      <c r="H21"/>
      <c r="I21" s="1018">
        <v>18</v>
      </c>
      <c r="J21" s="1013">
        <v>553.40469785902803</v>
      </c>
      <c r="K21" s="1019">
        <v>163172.22317148137</v>
      </c>
      <c r="L21" s="1013">
        <v>830.10704678854199</v>
      </c>
      <c r="M21" s="1019">
        <v>382548.50270018564</v>
      </c>
      <c r="N21" s="1020">
        <f t="shared" si="7"/>
        <v>636.76275006621313</v>
      </c>
      <c r="O21" s="1019">
        <f t="shared" si="8"/>
        <v>293445.74574051367</v>
      </c>
      <c r="S21" s="407">
        <v>18</v>
      </c>
      <c r="T21" s="987">
        <f t="shared" si="5"/>
        <v>636.76275006621313</v>
      </c>
      <c r="U21" s="986">
        <v>293445.74574051367</v>
      </c>
      <c r="V21" s="408">
        <f t="shared" si="9"/>
        <v>678.31008968035451</v>
      </c>
      <c r="W21" s="405">
        <f t="shared" si="2"/>
        <v>200000.76934833836</v>
      </c>
      <c r="X21" s="408">
        <f t="shared" si="6"/>
        <v>2.8488914177080971</v>
      </c>
      <c r="Y21" s="909">
        <f t="shared" si="3"/>
        <v>1312.889886209173</v>
      </c>
      <c r="Z21" s="547"/>
      <c r="AA21" s="556">
        <f t="shared" si="4"/>
        <v>494759.40497506119</v>
      </c>
      <c r="AB21" s="547"/>
      <c r="AC21" s="400">
        <v>553.40469785902803</v>
      </c>
      <c r="AD21" s="400">
        <v>678.31008968035451</v>
      </c>
      <c r="AE21" s="400">
        <v>2.8488914177080971</v>
      </c>
      <c r="AJ21" s="400">
        <v>163172.22317148137</v>
      </c>
      <c r="AK21" s="400">
        <v>200000.76934833833</v>
      </c>
      <c r="AL21" s="400">
        <v>840</v>
      </c>
    </row>
    <row r="22" spans="1:63" s="396" customFormat="1" ht="20.25" customHeight="1">
      <c r="A22"/>
      <c r="B22"/>
      <c r="C22"/>
      <c r="D22"/>
      <c r="E22"/>
      <c r="F22"/>
      <c r="G22"/>
      <c r="H22"/>
      <c r="I22" s="1018">
        <v>19</v>
      </c>
      <c r="J22" s="1013">
        <v>554.04915258663425</v>
      </c>
      <c r="K22" s="1019">
        <v>163362.24163544399</v>
      </c>
      <c r="L22" s="1013">
        <v>831.07372887995143</v>
      </c>
      <c r="M22" s="1019">
        <v>382993.99077077414</v>
      </c>
      <c r="N22" s="1020">
        <f t="shared" si="7"/>
        <v>637.50427749854487</v>
      </c>
      <c r="O22" s="1019">
        <f t="shared" si="8"/>
        <v>293787.47124242946</v>
      </c>
      <c r="S22" s="407">
        <v>19</v>
      </c>
      <c r="T22" s="987">
        <f t="shared" si="5"/>
        <v>637.50427749854487</v>
      </c>
      <c r="U22" s="986">
        <v>293787.47124242946</v>
      </c>
      <c r="V22" s="408">
        <f t="shared" si="9"/>
        <v>679.09525829976371</v>
      </c>
      <c r="W22" s="405">
        <f t="shared" si="2"/>
        <v>200232.27751892153</v>
      </c>
      <c r="X22" s="408">
        <f t="shared" si="6"/>
        <v>2.8488914177080971</v>
      </c>
      <c r="Y22" s="909">
        <f t="shared" si="3"/>
        <v>1312.889886209173</v>
      </c>
      <c r="Z22" s="547"/>
      <c r="AA22" s="556">
        <f t="shared" si="4"/>
        <v>495332.63864756015</v>
      </c>
      <c r="AB22" s="547"/>
      <c r="AC22" s="400">
        <v>554.04915258663425</v>
      </c>
      <c r="AD22" s="400">
        <v>679.09525829976371</v>
      </c>
      <c r="AE22" s="400">
        <v>2.8488914177080971</v>
      </c>
      <c r="AF22" s="389"/>
      <c r="AG22" s="389"/>
      <c r="AH22" s="389"/>
      <c r="AI22" s="389"/>
      <c r="AJ22" s="400">
        <v>163362.24163544399</v>
      </c>
      <c r="AK22" s="400">
        <v>200232.27751892153</v>
      </c>
      <c r="AL22" s="400">
        <v>840</v>
      </c>
      <c r="AM22" s="389"/>
      <c r="AN22" s="389"/>
      <c r="AO22" s="389"/>
      <c r="AP22" s="389"/>
      <c r="AQ22" s="389"/>
      <c r="AR22" s="389"/>
      <c r="AS22" s="389"/>
      <c r="AT22" s="389"/>
      <c r="AU22" s="389"/>
      <c r="AV22" s="389"/>
      <c r="AW22" s="389"/>
      <c r="AX22" s="389"/>
      <c r="AY22" s="389"/>
      <c r="AZ22" s="389"/>
      <c r="BA22" s="389"/>
      <c r="BB22" s="389"/>
      <c r="BC22" s="389"/>
      <c r="BD22" s="389"/>
      <c r="BE22" s="389"/>
      <c r="BF22" s="389"/>
      <c r="BG22" s="389"/>
      <c r="BH22" s="389"/>
      <c r="BI22" s="389"/>
      <c r="BJ22" s="389"/>
      <c r="BK22" s="389"/>
    </row>
    <row r="23" spans="1:63" ht="20.25" customHeight="1">
      <c r="A23"/>
      <c r="B23"/>
      <c r="C23"/>
      <c r="D23"/>
      <c r="E23"/>
      <c r="F23"/>
      <c r="G23"/>
      <c r="H23"/>
      <c r="I23" s="1018">
        <v>20</v>
      </c>
      <c r="J23" s="1013">
        <v>554.69360731424069</v>
      </c>
      <c r="K23" s="1019">
        <v>163552.26009940667</v>
      </c>
      <c r="L23" s="1013">
        <v>832.0404109713611</v>
      </c>
      <c r="M23" s="1019">
        <v>383439.47884136275</v>
      </c>
      <c r="N23" s="1020">
        <f t="shared" si="7"/>
        <v>638.24580493087683</v>
      </c>
      <c r="O23" s="1019">
        <f t="shared" si="8"/>
        <v>294129.1967443453</v>
      </c>
      <c r="S23" s="407">
        <v>20</v>
      </c>
      <c r="T23" s="987">
        <f t="shared" si="5"/>
        <v>638.24580493087683</v>
      </c>
      <c r="U23" s="986">
        <v>294129.1967443453</v>
      </c>
      <c r="V23" s="408">
        <f t="shared" si="9"/>
        <v>679.88042691917315</v>
      </c>
      <c r="W23" s="405">
        <f t="shared" si="2"/>
        <v>200463.78568950479</v>
      </c>
      <c r="X23" s="408">
        <f t="shared" si="6"/>
        <v>2.8488914177080971</v>
      </c>
      <c r="Y23" s="909">
        <f t="shared" si="3"/>
        <v>1312.889886209173</v>
      </c>
      <c r="Z23" s="547"/>
      <c r="AA23" s="556">
        <f t="shared" si="4"/>
        <v>495905.87232005922</v>
      </c>
      <c r="AB23" s="547"/>
      <c r="AC23" s="400">
        <v>554.69360731424069</v>
      </c>
      <c r="AD23" s="400">
        <v>679.88042691917315</v>
      </c>
      <c r="AE23" s="400">
        <v>2.8488914177080971</v>
      </c>
      <c r="AJ23" s="400">
        <v>163552.26009940667</v>
      </c>
      <c r="AK23" s="400">
        <v>200463.78568950479</v>
      </c>
      <c r="AL23" s="400">
        <v>840</v>
      </c>
    </row>
    <row r="24" spans="1:63" ht="20.25" customHeight="1">
      <c r="A24"/>
      <c r="B24"/>
      <c r="C24"/>
      <c r="D24"/>
      <c r="E24"/>
      <c r="F24"/>
      <c r="G24"/>
      <c r="H24"/>
      <c r="I24" s="1018">
        <v>21</v>
      </c>
      <c r="J24" s="1013">
        <v>555.48624808068382</v>
      </c>
      <c r="K24" s="1019">
        <v>163785.97144399275</v>
      </c>
      <c r="L24" s="1013">
        <v>833.22937212102579</v>
      </c>
      <c r="M24" s="1019">
        <v>383987.40252100455</v>
      </c>
      <c r="N24" s="1020">
        <f t="shared" si="7"/>
        <v>639.15783931766032</v>
      </c>
      <c r="O24" s="1019">
        <f t="shared" si="8"/>
        <v>294549.49867115059</v>
      </c>
      <c r="S24" s="407">
        <v>21</v>
      </c>
      <c r="T24" s="987">
        <f t="shared" si="5"/>
        <v>639.15783931766032</v>
      </c>
      <c r="U24" s="986">
        <v>294549.49867115059</v>
      </c>
      <c r="V24" s="408">
        <f t="shared" si="9"/>
        <v>680.79278306805486</v>
      </c>
      <c r="W24" s="405">
        <f t="shared" si="2"/>
        <v>200732.7952980483</v>
      </c>
      <c r="X24" s="408">
        <f t="shared" si="6"/>
        <v>2.8488914177080971</v>
      </c>
      <c r="Y24" s="909">
        <f t="shared" si="3"/>
        <v>1312.889886209173</v>
      </c>
      <c r="Z24" s="547"/>
      <c r="AA24" s="556">
        <f t="shared" si="4"/>
        <v>496595.18385540805</v>
      </c>
      <c r="AB24" s="547"/>
      <c r="AC24" s="400">
        <v>555.48624808068382</v>
      </c>
      <c r="AD24" s="400">
        <v>680.79278306805486</v>
      </c>
      <c r="AE24" s="400">
        <v>2.8488914177080971</v>
      </c>
      <c r="AF24" s="396"/>
      <c r="AG24" s="396"/>
      <c r="AH24" s="396"/>
      <c r="AI24" s="396"/>
      <c r="AJ24" s="400">
        <v>163785.97144399275</v>
      </c>
      <c r="AK24" s="400">
        <v>200732.7952980483</v>
      </c>
      <c r="AL24" s="400">
        <v>840</v>
      </c>
      <c r="AM24" s="396"/>
      <c r="AN24" s="396"/>
      <c r="AO24" s="396"/>
      <c r="AP24" s="396"/>
      <c r="AQ24" s="396"/>
      <c r="AR24" s="396"/>
      <c r="AS24" s="396"/>
      <c r="AT24" s="396"/>
      <c r="AU24" s="396"/>
      <c r="AV24" s="396"/>
      <c r="AW24" s="396"/>
      <c r="AX24" s="396"/>
      <c r="AY24" s="396"/>
      <c r="AZ24" s="396"/>
      <c r="BA24" s="396"/>
      <c r="BB24" s="396"/>
      <c r="BC24" s="396"/>
      <c r="BD24" s="396"/>
      <c r="BE24" s="396"/>
      <c r="BF24" s="396"/>
      <c r="BG24" s="396"/>
      <c r="BH24" s="396"/>
      <c r="BI24" s="396"/>
      <c r="BJ24" s="396"/>
      <c r="BK24" s="396"/>
    </row>
    <row r="25" spans="1:63" ht="20.25" customHeight="1">
      <c r="A25"/>
      <c r="B25"/>
      <c r="C25"/>
      <c r="D25"/>
      <c r="E25"/>
      <c r="F25"/>
      <c r="G25"/>
      <c r="H25"/>
      <c r="I25" s="1018">
        <v>22</v>
      </c>
      <c r="J25" s="1013">
        <v>556.03668148125053</v>
      </c>
      <c r="K25" s="1019">
        <v>163948.26757560455</v>
      </c>
      <c r="L25" s="1013">
        <v>834.05502222187579</v>
      </c>
      <c r="M25" s="1019">
        <v>384367.8970741544</v>
      </c>
      <c r="N25" s="1020">
        <f t="shared" si="7"/>
        <v>639.79118321088902</v>
      </c>
      <c r="O25" s="1019">
        <f t="shared" si="8"/>
        <v>294841.36887090612</v>
      </c>
      <c r="S25" s="407">
        <v>22</v>
      </c>
      <c r="T25" s="987">
        <f t="shared" si="5"/>
        <v>639.79118321088902</v>
      </c>
      <c r="U25" s="986">
        <v>294841.36887090612</v>
      </c>
      <c r="V25" s="408">
        <f t="shared" si="9"/>
        <v>681.55448115953959</v>
      </c>
      <c r="W25" s="405">
        <f t="shared" si="2"/>
        <v>200957.38314750799</v>
      </c>
      <c r="X25" s="408">
        <f t="shared" si="6"/>
        <v>2.8488914177080971</v>
      </c>
      <c r="Y25" s="909">
        <f t="shared" si="3"/>
        <v>1312.889886209173</v>
      </c>
      <c r="Z25" s="547"/>
      <c r="AA25" s="556">
        <f t="shared" si="4"/>
        <v>497111.64190462325</v>
      </c>
      <c r="AB25" s="547"/>
      <c r="AC25" s="400">
        <v>556.03668148125053</v>
      </c>
      <c r="AD25" s="400">
        <v>681.55448115953959</v>
      </c>
      <c r="AE25" s="400">
        <v>2.8488914177080971</v>
      </c>
      <c r="AJ25" s="400">
        <v>163948.26757560455</v>
      </c>
      <c r="AK25" s="400">
        <v>200957.38314750796</v>
      </c>
      <c r="AL25" s="400">
        <v>840</v>
      </c>
    </row>
    <row r="26" spans="1:63" s="396" customFormat="1" ht="20.25" customHeight="1">
      <c r="A26"/>
      <c r="B26"/>
      <c r="C26"/>
      <c r="D26"/>
      <c r="E26"/>
      <c r="F26"/>
      <c r="G26"/>
      <c r="H26"/>
      <c r="I26" s="1018">
        <v>23</v>
      </c>
      <c r="J26" s="1013">
        <v>556.58711488181734</v>
      </c>
      <c r="K26" s="1019">
        <v>164110.56370721635</v>
      </c>
      <c r="L26" s="1013">
        <v>834.88067232272601</v>
      </c>
      <c r="M26" s="1019">
        <v>384748.39162730449</v>
      </c>
      <c r="N26" s="1020">
        <f t="shared" si="7"/>
        <v>640.42452710411806</v>
      </c>
      <c r="O26" s="1019">
        <f t="shared" si="8"/>
        <v>295133.23907066177</v>
      </c>
      <c r="S26" s="407">
        <v>23</v>
      </c>
      <c r="T26" s="987">
        <f t="shared" si="5"/>
        <v>640.42452710411806</v>
      </c>
      <c r="U26" s="986">
        <v>295133.23907066177</v>
      </c>
      <c r="V26" s="408">
        <f t="shared" si="9"/>
        <v>682.22482843493992</v>
      </c>
      <c r="W26" s="405">
        <f t="shared" si="2"/>
        <v>201155.03606886405</v>
      </c>
      <c r="X26" s="408">
        <f t="shared" si="6"/>
        <v>2.8488914177080971</v>
      </c>
      <c r="Y26" s="909">
        <f t="shared" si="3"/>
        <v>1312.889886209173</v>
      </c>
      <c r="Z26" s="547"/>
      <c r="AA26" s="556">
        <f t="shared" si="4"/>
        <v>497601.16502573498</v>
      </c>
      <c r="AB26" s="547"/>
      <c r="AC26" s="400">
        <v>556.58711488181734</v>
      </c>
      <c r="AD26" s="400">
        <v>682.22482843493992</v>
      </c>
      <c r="AE26" s="400">
        <v>2.8488914177080971</v>
      </c>
      <c r="AF26" s="389"/>
      <c r="AG26" s="389"/>
      <c r="AH26" s="389"/>
      <c r="AI26" s="389"/>
      <c r="AJ26" s="400">
        <v>164110.56370721635</v>
      </c>
      <c r="AK26" s="400">
        <v>201155.03606886408</v>
      </c>
      <c r="AL26" s="400">
        <v>840</v>
      </c>
      <c r="AM26" s="389"/>
      <c r="AN26" s="389"/>
      <c r="AO26" s="389"/>
      <c r="AP26" s="389"/>
      <c r="AQ26" s="389"/>
      <c r="AR26" s="389"/>
      <c r="AS26" s="389"/>
      <c r="AT26" s="389"/>
      <c r="AU26" s="389"/>
      <c r="AV26" s="389"/>
      <c r="AW26" s="389"/>
      <c r="AX26" s="389"/>
      <c r="AY26" s="389"/>
      <c r="AZ26" s="389"/>
      <c r="BA26" s="389"/>
      <c r="BB26" s="389"/>
      <c r="BC26" s="389"/>
      <c r="BD26" s="389"/>
      <c r="BE26" s="389"/>
      <c r="BF26" s="389"/>
      <c r="BG26" s="389"/>
      <c r="BH26" s="389"/>
      <c r="BI26" s="389"/>
      <c r="BJ26" s="389"/>
      <c r="BK26" s="389"/>
    </row>
    <row r="27" spans="1:63" s="396" customFormat="1" ht="20.25" customHeight="1">
      <c r="A27"/>
      <c r="B27"/>
      <c r="C27"/>
      <c r="D27"/>
      <c r="E27"/>
      <c r="F27"/>
      <c r="G27"/>
      <c r="H27"/>
      <c r="I27" s="1018">
        <v>24</v>
      </c>
      <c r="J27" s="1013">
        <v>557.13754828238416</v>
      </c>
      <c r="K27" s="1019">
        <v>164272.85983882815</v>
      </c>
      <c r="L27" s="1013">
        <v>835.70632242357624</v>
      </c>
      <c r="M27" s="1019">
        <v>385128.88618045457</v>
      </c>
      <c r="N27" s="1020">
        <f t="shared" si="7"/>
        <v>641.05787099734698</v>
      </c>
      <c r="O27" s="1019">
        <f t="shared" si="8"/>
        <v>295425.10927041736</v>
      </c>
      <c r="S27" s="407">
        <v>24</v>
      </c>
      <c r="T27" s="987">
        <f t="shared" si="5"/>
        <v>641.05787099734698</v>
      </c>
      <c r="U27" s="986">
        <v>295425.10927041736</v>
      </c>
      <c r="V27" s="408">
        <f t="shared" si="9"/>
        <v>682.89517571034037</v>
      </c>
      <c r="W27" s="405">
        <f t="shared" si="2"/>
        <v>201352.68899022017</v>
      </c>
      <c r="X27" s="408">
        <f t="shared" si="6"/>
        <v>2.8488914177080971</v>
      </c>
      <c r="Y27" s="909">
        <f t="shared" si="3"/>
        <v>1312.889886209173</v>
      </c>
      <c r="Z27" s="547"/>
      <c r="AA27" s="556">
        <f t="shared" si="4"/>
        <v>498090.68814684672</v>
      </c>
      <c r="AB27" s="547"/>
      <c r="AC27" s="400">
        <v>557.13754828238416</v>
      </c>
      <c r="AD27" s="400">
        <v>682.89517571034037</v>
      </c>
      <c r="AE27" s="400">
        <v>2.8488914177080971</v>
      </c>
      <c r="AF27" s="389"/>
      <c r="AG27" s="389"/>
      <c r="AH27" s="389"/>
      <c r="AI27" s="389"/>
      <c r="AJ27" s="400">
        <v>164272.85983882815</v>
      </c>
      <c r="AK27" s="400">
        <v>201352.68899022017</v>
      </c>
      <c r="AL27" s="400">
        <v>840</v>
      </c>
      <c r="AM27" s="389"/>
      <c r="AN27" s="389"/>
      <c r="AO27" s="389"/>
      <c r="AP27" s="389"/>
      <c r="AQ27" s="389"/>
      <c r="AR27" s="389"/>
      <c r="AS27" s="389"/>
      <c r="AT27" s="389"/>
      <c r="AU27" s="389"/>
      <c r="AV27" s="389"/>
      <c r="AW27" s="389"/>
      <c r="AX27" s="389"/>
      <c r="AY27" s="389"/>
      <c r="AZ27" s="389"/>
      <c r="BA27" s="389"/>
      <c r="BB27" s="389"/>
      <c r="BC27" s="389"/>
      <c r="BD27" s="389"/>
      <c r="BE27" s="389"/>
      <c r="BF27" s="389"/>
      <c r="BG27" s="389"/>
      <c r="BH27" s="389"/>
      <c r="BI27" s="389"/>
      <c r="BJ27" s="389"/>
      <c r="BK27" s="389"/>
    </row>
    <row r="28" spans="1:63" ht="20.25" customHeight="1">
      <c r="A28"/>
      <c r="B28"/>
      <c r="C28"/>
      <c r="D28"/>
      <c r="E28"/>
      <c r="F28"/>
      <c r="G28"/>
      <c r="H28"/>
      <c r="I28" s="1018">
        <v>25</v>
      </c>
      <c r="J28" s="1013">
        <v>557.68798168295086</v>
      </c>
      <c r="K28" s="1019">
        <v>164435.15597043996</v>
      </c>
      <c r="L28" s="1013">
        <v>836.53197252442624</v>
      </c>
      <c r="M28" s="1019">
        <v>385509.38073360448</v>
      </c>
      <c r="N28" s="1020">
        <f t="shared" si="7"/>
        <v>641.69121489057568</v>
      </c>
      <c r="O28" s="1019">
        <f t="shared" si="8"/>
        <v>295716.97947017296</v>
      </c>
      <c r="S28" s="407">
        <v>25</v>
      </c>
      <c r="T28" s="987">
        <f t="shared" si="5"/>
        <v>641.69121489057568</v>
      </c>
      <c r="U28" s="986">
        <v>295716.97947017296</v>
      </c>
      <c r="V28" s="408">
        <f t="shared" si="9"/>
        <v>683.5655229857407</v>
      </c>
      <c r="W28" s="405">
        <f t="shared" si="2"/>
        <v>201550.34191157625</v>
      </c>
      <c r="X28" s="408">
        <f t="shared" si="6"/>
        <v>2.8488914177080971</v>
      </c>
      <c r="Y28" s="909">
        <f t="shared" si="3"/>
        <v>1312.889886209173</v>
      </c>
      <c r="Z28" s="547"/>
      <c r="AA28" s="556">
        <f t="shared" si="4"/>
        <v>498580.2112679584</v>
      </c>
      <c r="AB28" s="547"/>
      <c r="AC28" s="400">
        <v>557.68798168295086</v>
      </c>
      <c r="AD28" s="400">
        <v>683.5655229857407</v>
      </c>
      <c r="AE28" s="400">
        <v>2.8488914177080971</v>
      </c>
      <c r="AF28" s="396"/>
      <c r="AG28" s="396"/>
      <c r="AH28" s="396"/>
      <c r="AI28" s="396"/>
      <c r="AJ28" s="400">
        <v>164435.15597043996</v>
      </c>
      <c r="AK28" s="400">
        <v>201550.34191157625</v>
      </c>
      <c r="AL28" s="400">
        <v>840</v>
      </c>
      <c r="AM28" s="396"/>
      <c r="AN28" s="396"/>
      <c r="AO28" s="396"/>
      <c r="AP28" s="396"/>
      <c r="AQ28" s="396"/>
      <c r="AR28" s="396"/>
      <c r="AS28" s="396"/>
      <c r="AT28" s="396"/>
      <c r="AU28" s="396"/>
      <c r="AV28" s="396"/>
      <c r="AW28" s="396"/>
      <c r="AX28" s="396"/>
      <c r="AY28" s="396"/>
      <c r="AZ28" s="396"/>
      <c r="BA28" s="396"/>
      <c r="BB28" s="396"/>
      <c r="BC28" s="396"/>
      <c r="BD28" s="396"/>
      <c r="BE28" s="396"/>
      <c r="BF28" s="396"/>
      <c r="BG28" s="396"/>
      <c r="BH28" s="396"/>
      <c r="BI28" s="396"/>
      <c r="BJ28" s="396"/>
      <c r="BK28" s="396"/>
    </row>
    <row r="29" spans="1:63" ht="20.25" customHeight="1">
      <c r="A29"/>
      <c r="B29"/>
      <c r="C29"/>
      <c r="D29"/>
      <c r="E29"/>
      <c r="F29"/>
      <c r="G29"/>
      <c r="H29"/>
      <c r="I29" s="1018">
        <v>26</v>
      </c>
      <c r="J29" s="1013">
        <v>558.48062244939399</v>
      </c>
      <c r="K29" s="1019">
        <v>164668.867315026</v>
      </c>
      <c r="L29" s="1013">
        <v>837.72093367409093</v>
      </c>
      <c r="M29" s="1019">
        <v>386057.30441324622</v>
      </c>
      <c r="N29" s="1020">
        <f t="shared" si="7"/>
        <v>642.60324927735917</v>
      </c>
      <c r="O29" s="1019">
        <f t="shared" si="8"/>
        <v>296137.28139697824</v>
      </c>
      <c r="S29" s="407">
        <v>26</v>
      </c>
      <c r="T29" s="987">
        <f t="shared" si="5"/>
        <v>642.60324927735917</v>
      </c>
      <c r="U29" s="986">
        <v>296137.28139697824</v>
      </c>
      <c r="V29" s="408">
        <f t="shared" si="9"/>
        <v>684.44375594813073</v>
      </c>
      <c r="W29" s="405">
        <f t="shared" si="2"/>
        <v>201809.29024629414</v>
      </c>
      <c r="X29" s="408">
        <f t="shared" si="6"/>
        <v>2.8488914177080971</v>
      </c>
      <c r="Y29" s="909">
        <f t="shared" si="3"/>
        <v>1312.889886209173</v>
      </c>
      <c r="Z29" s="547"/>
      <c r="AA29" s="556">
        <f t="shared" si="4"/>
        <v>499259.46152948157</v>
      </c>
      <c r="AB29" s="547"/>
      <c r="AC29" s="400">
        <v>558.48062244939399</v>
      </c>
      <c r="AD29" s="400">
        <v>684.44375594813073</v>
      </c>
      <c r="AE29" s="400">
        <v>2.8488914177080971</v>
      </c>
      <c r="AF29" s="396"/>
      <c r="AG29" s="396"/>
      <c r="AH29" s="396"/>
      <c r="AI29" s="396"/>
      <c r="AJ29" s="400">
        <v>164668.867315026</v>
      </c>
      <c r="AK29" s="400">
        <v>201809.29024629414</v>
      </c>
      <c r="AL29" s="400">
        <v>840</v>
      </c>
      <c r="AM29" s="396"/>
      <c r="AN29" s="396"/>
      <c r="AO29" s="396"/>
      <c r="AP29" s="396"/>
      <c r="AQ29" s="396"/>
      <c r="AR29" s="396"/>
      <c r="AS29" s="396"/>
      <c r="AT29" s="396"/>
      <c r="AU29" s="396"/>
      <c r="AV29" s="396"/>
      <c r="AW29" s="396"/>
      <c r="AX29" s="396"/>
      <c r="AY29" s="396"/>
      <c r="AZ29" s="396"/>
      <c r="BA29" s="396"/>
      <c r="BB29" s="396"/>
      <c r="BC29" s="396"/>
      <c r="BD29" s="396"/>
      <c r="BE29" s="396"/>
      <c r="BF29" s="396"/>
      <c r="BG29" s="396"/>
      <c r="BH29" s="396"/>
      <c r="BI29" s="396"/>
      <c r="BJ29" s="396"/>
      <c r="BK29" s="396"/>
    </row>
    <row r="30" spans="1:63" ht="20.25" customHeight="1">
      <c r="A30"/>
      <c r="B30"/>
      <c r="C30"/>
      <c r="D30"/>
      <c r="E30"/>
      <c r="F30"/>
      <c r="G30"/>
      <c r="H30"/>
      <c r="I30" s="1018">
        <v>27</v>
      </c>
      <c r="J30" s="1013">
        <v>559.05783143841734</v>
      </c>
      <c r="K30" s="1019">
        <v>164839.0582699237</v>
      </c>
      <c r="L30" s="1013">
        <v>838.58674715762595</v>
      </c>
      <c r="M30" s="1019">
        <v>386456.30795504886</v>
      </c>
      <c r="N30" s="1020">
        <f t="shared" si="7"/>
        <v>643.26740190315968</v>
      </c>
      <c r="O30" s="1019">
        <f t="shared" si="8"/>
        <v>296443.34949305211</v>
      </c>
      <c r="S30" s="407">
        <v>27</v>
      </c>
      <c r="T30" s="987">
        <f t="shared" si="5"/>
        <v>643.26740190315968</v>
      </c>
      <c r="U30" s="986">
        <v>296443.34949305211</v>
      </c>
      <c r="V30" s="408">
        <f t="shared" si="9"/>
        <v>685.22843594008134</v>
      </c>
      <c r="W30" s="405">
        <f t="shared" si="2"/>
        <v>202040.65434432242</v>
      </c>
      <c r="X30" s="408">
        <f t="shared" si="6"/>
        <v>2.8488914177080971</v>
      </c>
      <c r="Y30" s="909">
        <f t="shared" si="3"/>
        <v>1312.889886209173</v>
      </c>
      <c r="Z30" s="547"/>
      <c r="AA30" s="556">
        <f t="shared" si="4"/>
        <v>499796.89372358366</v>
      </c>
      <c r="AB30" s="547"/>
      <c r="AC30" s="400">
        <v>559.05783143841734</v>
      </c>
      <c r="AD30" s="400">
        <v>685.22843594008134</v>
      </c>
      <c r="AE30" s="400">
        <v>2.8488914177080971</v>
      </c>
      <c r="AJ30" s="400">
        <v>164839.0582699237</v>
      </c>
      <c r="AK30" s="400">
        <v>202040.65434432245</v>
      </c>
      <c r="AL30" s="400">
        <v>840</v>
      </c>
    </row>
    <row r="31" spans="1:63" ht="20.25" customHeight="1">
      <c r="A31"/>
      <c r="B31"/>
      <c r="C31"/>
      <c r="D31"/>
      <c r="E31"/>
      <c r="F31"/>
      <c r="G31"/>
      <c r="H31"/>
      <c r="I31" s="1018">
        <v>28</v>
      </c>
      <c r="J31" s="1013">
        <v>559.64873498911084</v>
      </c>
      <c r="K31" s="1019">
        <v>165013.28708731467</v>
      </c>
      <c r="L31" s="1013">
        <v>839.47310248366625</v>
      </c>
      <c r="M31" s="1019">
        <v>386864.77804833243</v>
      </c>
      <c r="N31" s="1020">
        <f t="shared" si="7"/>
        <v>643.94731187034859</v>
      </c>
      <c r="O31" s="1019">
        <f t="shared" si="8"/>
        <v>296756.67920233146</v>
      </c>
      <c r="S31" s="407">
        <v>28</v>
      </c>
      <c r="T31" s="987">
        <f t="shared" si="5"/>
        <v>643.94731187034859</v>
      </c>
      <c r="U31" s="986">
        <v>296756.67920233146</v>
      </c>
      <c r="V31" s="408">
        <f t="shared" si="9"/>
        <v>685.94254275854712</v>
      </c>
      <c r="W31" s="405">
        <f t="shared" si="2"/>
        <v>202251.20983400615</v>
      </c>
      <c r="X31" s="408">
        <f t="shared" si="6"/>
        <v>2.8488914177080971</v>
      </c>
      <c r="Y31" s="909">
        <f t="shared" si="3"/>
        <v>1312.889886209173</v>
      </c>
      <c r="Z31" s="547"/>
      <c r="AA31" s="556">
        <f t="shared" si="4"/>
        <v>500320.77892254677</v>
      </c>
      <c r="AB31" s="547"/>
      <c r="AC31" s="400">
        <v>559.64873498911084</v>
      </c>
      <c r="AD31" s="400">
        <v>685.94254275854712</v>
      </c>
      <c r="AE31" s="400">
        <v>2.8488914177080971</v>
      </c>
      <c r="AJ31" s="400">
        <v>165013.28708731467</v>
      </c>
      <c r="AK31" s="400">
        <v>202251.20983400615</v>
      </c>
      <c r="AL31" s="400">
        <v>840</v>
      </c>
    </row>
    <row r="32" spans="1:63" ht="20.25" customHeight="1">
      <c r="A32"/>
      <c r="B32"/>
      <c r="C32"/>
      <c r="D32"/>
      <c r="E32"/>
      <c r="F32"/>
      <c r="G32"/>
      <c r="H32"/>
      <c r="I32" s="1018">
        <v>29</v>
      </c>
      <c r="J32" s="1013">
        <v>560.26641412826075</v>
      </c>
      <c r="K32" s="1019">
        <v>165195.41072799149</v>
      </c>
      <c r="L32" s="1013">
        <v>840.39962119239112</v>
      </c>
      <c r="M32" s="1019">
        <v>387291.7571302685</v>
      </c>
      <c r="N32" s="1020">
        <f t="shared" si="7"/>
        <v>644.65803057010896</v>
      </c>
      <c r="O32" s="1019">
        <f t="shared" si="8"/>
        <v>297084.20680792903</v>
      </c>
      <c r="S32" s="407">
        <v>29</v>
      </c>
      <c r="T32" s="987">
        <f t="shared" si="5"/>
        <v>644.65803057010896</v>
      </c>
      <c r="U32" s="986">
        <v>297084.20680792903</v>
      </c>
      <c r="V32" s="408">
        <f t="shared" si="9"/>
        <v>686.68668504751918</v>
      </c>
      <c r="W32" s="405">
        <f t="shared" si="2"/>
        <v>202470.62132819337</v>
      </c>
      <c r="X32" s="408">
        <f t="shared" si="6"/>
        <v>2.8488914177080971</v>
      </c>
      <c r="Y32" s="909">
        <f t="shared" si="3"/>
        <v>1312.889886209173</v>
      </c>
      <c r="Z32" s="547"/>
      <c r="AA32" s="556">
        <f t="shared" si="4"/>
        <v>500867.7180223316</v>
      </c>
      <c r="AB32" s="547"/>
      <c r="AC32" s="400">
        <v>560.26641412826075</v>
      </c>
      <c r="AD32" s="400">
        <v>686.68668504751918</v>
      </c>
      <c r="AE32" s="400">
        <v>2.8488914177080971</v>
      </c>
      <c r="AJ32" s="400">
        <v>165195.41072799149</v>
      </c>
      <c r="AK32" s="400">
        <v>202470.62132819337</v>
      </c>
      <c r="AL32" s="400">
        <v>840</v>
      </c>
    </row>
    <row r="33" spans="1:38" ht="20.25" customHeight="1" thickBot="1">
      <c r="A33"/>
      <c r="B33"/>
      <c r="C33"/>
      <c r="D33"/>
      <c r="E33"/>
      <c r="F33"/>
      <c r="G33"/>
      <c r="H33"/>
      <c r="I33" s="1018">
        <v>30</v>
      </c>
      <c r="J33" s="1013">
        <v>560.60202928629201</v>
      </c>
      <c r="K33" s="1019">
        <v>165294.36737161572</v>
      </c>
      <c r="L33" s="1013">
        <v>840.90304392943801</v>
      </c>
      <c r="M33" s="1019">
        <v>387523.75565988891</v>
      </c>
      <c r="N33" s="1020">
        <f t="shared" si="7"/>
        <v>645.04419865256045</v>
      </c>
      <c r="O33" s="1019">
        <f t="shared" si="8"/>
        <v>297262.16850704601</v>
      </c>
      <c r="S33" s="409">
        <v>30</v>
      </c>
      <c r="T33" s="987">
        <f t="shared" si="5"/>
        <v>645.04419865256045</v>
      </c>
      <c r="U33" s="988">
        <v>297262.16850704601</v>
      </c>
      <c r="V33" s="411">
        <f t="shared" si="9"/>
        <v>687.19775574371806</v>
      </c>
      <c r="W33" s="410">
        <f t="shared" si="2"/>
        <v>202621.31130610502</v>
      </c>
      <c r="X33" s="411">
        <f t="shared" si="6"/>
        <v>2.8488914177080971</v>
      </c>
      <c r="Y33" s="910">
        <f t="shared" si="3"/>
        <v>1312.889886209173</v>
      </c>
      <c r="Z33" s="547"/>
      <c r="AA33" s="557">
        <f t="shared" si="4"/>
        <v>501196.36969936022</v>
      </c>
      <c r="AB33" s="547"/>
      <c r="AC33" s="400">
        <v>560.60202928629201</v>
      </c>
      <c r="AD33" s="400">
        <v>687.19775574371806</v>
      </c>
      <c r="AE33" s="400">
        <v>2.8488914177080971</v>
      </c>
      <c r="AJ33" s="400">
        <v>165294.36737161572</v>
      </c>
      <c r="AK33" s="400">
        <v>202621.311306105</v>
      </c>
      <c r="AL33" s="400">
        <v>840</v>
      </c>
    </row>
    <row r="34" spans="1:38" ht="15">
      <c r="A34"/>
      <c r="B34"/>
      <c r="C34"/>
      <c r="D34"/>
      <c r="E34"/>
      <c r="F34"/>
      <c r="G34"/>
      <c r="H34"/>
      <c r="I34" s="1006" t="s">
        <v>121</v>
      </c>
      <c r="J34"/>
      <c r="K34" s="1027">
        <f>SUM(K4:K33)</f>
        <v>5150427.0084645916</v>
      </c>
      <c r="L34" s="1006"/>
      <c r="M34" s="1027">
        <f>SUM(M4:M33)</f>
        <v>12074899.15905666</v>
      </c>
      <c r="N34" s="1006"/>
      <c r="O34" s="1027">
        <f>SUM(O4:O33)</f>
        <v>9622284.0000355784</v>
      </c>
      <c r="U34" s="400"/>
      <c r="W34" s="400"/>
      <c r="Y34" s="400"/>
      <c r="Z34" s="400"/>
      <c r="AA34" s="400"/>
      <c r="AB34" s="400"/>
    </row>
    <row r="35" spans="1:38" ht="15">
      <c r="A35"/>
      <c r="B35"/>
      <c r="C35"/>
      <c r="D35"/>
      <c r="E35"/>
      <c r="F35"/>
      <c r="G35"/>
      <c r="H35"/>
      <c r="I35" s="1006" t="s">
        <v>526</v>
      </c>
      <c r="J35"/>
      <c r="K35"/>
      <c r="L35"/>
      <c r="M35" s="1027">
        <f>M34-K34</f>
        <v>6924472.1505920682</v>
      </c>
      <c r="N35"/>
      <c r="O35" s="1027">
        <f>O34-K34</f>
        <v>4471856.9915709868</v>
      </c>
    </row>
    <row r="36" spans="1:38" ht="22.5" customHeight="1">
      <c r="A36"/>
      <c r="B36"/>
      <c r="C36"/>
      <c r="D36"/>
      <c r="E36"/>
      <c r="F36"/>
      <c r="G36"/>
      <c r="H36"/>
      <c r="I36" s="1006" t="s">
        <v>527</v>
      </c>
      <c r="J36"/>
      <c r="K36"/>
      <c r="L36"/>
      <c r="M36" s="1024">
        <f>M35/K34</f>
        <v>1.3444462253735234</v>
      </c>
      <c r="N36"/>
      <c r="O36" s="1024">
        <f>O35/K34</f>
        <v>0.86824975564581486</v>
      </c>
      <c r="U36" s="401">
        <f>SUM(U4:U35)</f>
        <v>9622284.0000355784</v>
      </c>
      <c r="W36" s="401">
        <f>SUM(W4:W35)</f>
        <v>4954295.2409098325</v>
      </c>
      <c r="Y36" s="401">
        <f>SUM(Y4:Y35)</f>
        <v>39386.696586275204</v>
      </c>
      <c r="Z36" s="401"/>
      <c r="AA36" s="401"/>
      <c r="AB36" s="401"/>
    </row>
    <row r="37" spans="1:38" ht="30" customHeight="1">
      <c r="W37" s="401">
        <f>SUM(U36:Y36)</f>
        <v>14615965.937531685</v>
      </c>
    </row>
  </sheetData>
  <mergeCells count="8">
    <mergeCell ref="J2:K2"/>
    <mergeCell ref="L2:M2"/>
    <mergeCell ref="N2:O2"/>
    <mergeCell ref="X2:Y2"/>
    <mergeCell ref="S1:Y1"/>
    <mergeCell ref="T2:U2"/>
    <mergeCell ref="V2:W2"/>
    <mergeCell ref="S2:S3"/>
  </mergeCells>
  <printOptions horizontalCentered="1"/>
  <pageMargins left="0.98425196850393704" right="0.59055118110236227" top="1.9685039370078741" bottom="1.0629921259842521" header="0.39370078740157483" footer="0.39370078740157483"/>
  <pageSetup paperSize="9" scale="69" orientation="portrait" r:id="rId1"/>
  <headerFooter alignWithMargins="0"/>
  <ignoredErrors>
    <ignoredError sqref="X4" formula="1"/>
  </ignoredError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15">
    <tabColor rgb="FF00B050"/>
  </sheetPr>
  <dimension ref="B1:L77"/>
  <sheetViews>
    <sheetView showGridLines="0" workbookViewId="0">
      <selection activeCell="B20" sqref="B20"/>
    </sheetView>
  </sheetViews>
  <sheetFormatPr defaultColWidth="11.5703125" defaultRowHeight="12.75"/>
  <cols>
    <col min="1" max="1" width="2.7109375" style="2" customWidth="1"/>
    <col min="2" max="2" width="7.85546875" style="2" customWidth="1"/>
    <col min="3" max="6" width="19.140625" style="2" customWidth="1"/>
    <col min="7" max="7" width="2.7109375" style="2" customWidth="1"/>
    <col min="8" max="8" width="11.5703125" style="2" customWidth="1"/>
    <col min="9" max="9" width="12.5703125" style="6" hidden="1" customWidth="1"/>
    <col min="10" max="13" width="0" style="2" hidden="1" customWidth="1"/>
    <col min="14" max="16384" width="11.5703125" style="2"/>
  </cols>
  <sheetData>
    <row r="1" spans="2:12" s="1" customFormat="1" ht="30" customHeight="1">
      <c r="B1" s="1208" t="s">
        <v>51</v>
      </c>
      <c r="C1" s="1208"/>
      <c r="D1" s="1208"/>
      <c r="E1" s="1208"/>
      <c r="F1" s="1208"/>
      <c r="I1" s="139"/>
    </row>
    <row r="2" spans="2:12" ht="20.25" customHeight="1" thickBot="1">
      <c r="B2" s="89" t="s">
        <v>349</v>
      </c>
      <c r="C2" s="41"/>
      <c r="D2" s="41"/>
      <c r="E2" s="41"/>
      <c r="F2" s="134"/>
    </row>
    <row r="3" spans="2:12" ht="48" customHeight="1" thickBot="1">
      <c r="B3" s="413" t="s">
        <v>1</v>
      </c>
      <c r="C3" s="414" t="s">
        <v>17</v>
      </c>
      <c r="D3" s="49" t="s">
        <v>5</v>
      </c>
      <c r="E3" s="49" t="s">
        <v>6</v>
      </c>
      <c r="F3" s="49" t="s">
        <v>7</v>
      </c>
      <c r="I3" s="151" t="s">
        <v>90</v>
      </c>
      <c r="J3" s="152" t="s">
        <v>98</v>
      </c>
      <c r="L3" s="152" t="s">
        <v>99</v>
      </c>
    </row>
    <row r="4" spans="2:12" s="3" customFormat="1" ht="20.25" customHeight="1">
      <c r="B4" s="93">
        <v>1</v>
      </c>
      <c r="C4" s="104">
        <f>C77</f>
        <v>46.694513614308455</v>
      </c>
      <c r="D4" s="105">
        <v>0.45</v>
      </c>
      <c r="E4" s="95">
        <f>J4/C4</f>
        <v>24698.821052788357</v>
      </c>
      <c r="F4" s="106">
        <f>E4*D4</f>
        <v>11114.469473754762</v>
      </c>
      <c r="I4" s="140">
        <v>11630.383969398332</v>
      </c>
      <c r="J4" s="143">
        <f>'3 Vol'!C4</f>
        <v>1153299.4359067942</v>
      </c>
      <c r="K4" s="150"/>
      <c r="L4" s="138">
        <v>11630.383969398332</v>
      </c>
    </row>
    <row r="5" spans="2:12" ht="20.25" customHeight="1">
      <c r="B5" s="98">
        <v>2</v>
      </c>
      <c r="C5" s="104">
        <f>C4</f>
        <v>46.694513614308455</v>
      </c>
      <c r="D5" s="107">
        <f>D4</f>
        <v>0.45</v>
      </c>
      <c r="E5" s="95">
        <f>J5/C5</f>
        <v>23299.225835489491</v>
      </c>
      <c r="F5" s="106">
        <f t="shared" ref="F5:F33" si="0">E5*D5</f>
        <v>10484.651625970271</v>
      </c>
      <c r="I5" s="11">
        <v>10993.273725959009</v>
      </c>
      <c r="J5" s="143">
        <f>'3 Vol'!C5</f>
        <v>1087946.0179781113</v>
      </c>
      <c r="L5" s="8">
        <v>10993.273725959009</v>
      </c>
    </row>
    <row r="6" spans="2:12" ht="20.25" customHeight="1">
      <c r="B6" s="98">
        <v>3</v>
      </c>
      <c r="C6" s="104">
        <f t="shared" ref="C6:C33" si="1">C5</f>
        <v>46.694513614308455</v>
      </c>
      <c r="D6" s="107">
        <f t="shared" ref="D6:D33" si="2">D5</f>
        <v>0.45</v>
      </c>
      <c r="E6" s="95">
        <f t="shared" ref="E6:E33" si="3">J6/C6</f>
        <v>21357.486844643736</v>
      </c>
      <c r="F6" s="106">
        <f t="shared" si="0"/>
        <v>9610.869080089682</v>
      </c>
      <c r="I6" s="11">
        <v>10077.103017908254</v>
      </c>
      <c r="J6" s="143">
        <f>'3 Vol'!C6</f>
        <v>997277.46023463074</v>
      </c>
      <c r="L6" s="8">
        <v>10077.103017908254</v>
      </c>
    </row>
    <row r="7" spans="2:12" ht="20.25" customHeight="1">
      <c r="B7" s="98">
        <v>4</v>
      </c>
      <c r="C7" s="104">
        <f t="shared" si="1"/>
        <v>46.694513614308455</v>
      </c>
      <c r="D7" s="107">
        <f t="shared" si="2"/>
        <v>0.45</v>
      </c>
      <c r="E7" s="95">
        <f t="shared" si="3"/>
        <v>20075.071743773242</v>
      </c>
      <c r="F7" s="106">
        <f t="shared" si="0"/>
        <v>9033.7822846979598</v>
      </c>
      <c r="I7" s="11">
        <v>9472.0211008645292</v>
      </c>
      <c r="J7" s="143">
        <f>'3 Vol'!C7</f>
        <v>937395.71084783855</v>
      </c>
      <c r="L7" s="8">
        <v>9472.0211008645292</v>
      </c>
    </row>
    <row r="8" spans="2:12" s="3" customFormat="1" ht="20.25" customHeight="1">
      <c r="B8" s="98">
        <v>5</v>
      </c>
      <c r="C8" s="104">
        <f t="shared" si="1"/>
        <v>46.694513614308455</v>
      </c>
      <c r="D8" s="107">
        <f t="shared" si="2"/>
        <v>0.45</v>
      </c>
      <c r="E8" s="95">
        <f t="shared" si="3"/>
        <v>18974.131724507748</v>
      </c>
      <c r="F8" s="106">
        <f t="shared" si="0"/>
        <v>8538.3592760284864</v>
      </c>
      <c r="I8" s="140">
        <v>8952.564571574494</v>
      </c>
      <c r="J8" s="143">
        <f>'3 Vol'!C8</f>
        <v>885987.85212970909</v>
      </c>
      <c r="L8" s="138">
        <v>8952.564571574494</v>
      </c>
    </row>
    <row r="9" spans="2:12" ht="20.25" customHeight="1">
      <c r="B9" s="98">
        <v>6</v>
      </c>
      <c r="C9" s="104">
        <f t="shared" si="1"/>
        <v>46.694513614308455</v>
      </c>
      <c r="D9" s="107">
        <f t="shared" si="2"/>
        <v>0.45</v>
      </c>
      <c r="E9" s="95">
        <f t="shared" si="3"/>
        <v>18772.703772314813</v>
      </c>
      <c r="F9" s="106">
        <f t="shared" si="0"/>
        <v>8447.7166975416658</v>
      </c>
      <c r="I9" s="11">
        <v>8857.5248208912999</v>
      </c>
      <c r="J9" s="143">
        <f>'3 Vol'!C9</f>
        <v>876582.27187373373</v>
      </c>
      <c r="L9" s="8">
        <v>8857.5248208912999</v>
      </c>
    </row>
    <row r="10" spans="2:12" ht="20.25" customHeight="1">
      <c r="B10" s="98">
        <v>7</v>
      </c>
      <c r="C10" s="104">
        <f t="shared" si="1"/>
        <v>46.694513614308455</v>
      </c>
      <c r="D10" s="107">
        <f t="shared" si="2"/>
        <v>0.45</v>
      </c>
      <c r="E10" s="95">
        <f t="shared" si="3"/>
        <v>18293.135326047148</v>
      </c>
      <c r="F10" s="106">
        <f t="shared" si="0"/>
        <v>8231.910896721216</v>
      </c>
      <c r="I10" s="11">
        <v>8631.2500408888263</v>
      </c>
      <c r="J10" s="143">
        <f>'3 Vol'!C10</f>
        <v>854189.05653049541</v>
      </c>
      <c r="L10" s="8">
        <v>8631.2500408888263</v>
      </c>
    </row>
    <row r="11" spans="2:12" ht="20.25" customHeight="1">
      <c r="B11" s="98">
        <v>8</v>
      </c>
      <c r="C11" s="104">
        <f t="shared" si="1"/>
        <v>46.694513614308455</v>
      </c>
      <c r="D11" s="107">
        <f t="shared" si="2"/>
        <v>0.45</v>
      </c>
      <c r="E11" s="95">
        <f t="shared" si="3"/>
        <v>18076.658088644148</v>
      </c>
      <c r="F11" s="106">
        <f t="shared" si="0"/>
        <v>8134.4961398898668</v>
      </c>
      <c r="I11" s="11">
        <v>8416.8844598338492</v>
      </c>
      <c r="J11" s="143">
        <f>'3 Vol'!C11</f>
        <v>844080.75722139317</v>
      </c>
      <c r="L11" s="8">
        <v>8416.8844598338492</v>
      </c>
    </row>
    <row r="12" spans="2:12" s="3" customFormat="1" ht="20.25" customHeight="1">
      <c r="B12" s="98">
        <v>9</v>
      </c>
      <c r="C12" s="104">
        <f t="shared" si="1"/>
        <v>46.694513614308455</v>
      </c>
      <c r="D12" s="107">
        <f t="shared" si="2"/>
        <v>0.45</v>
      </c>
      <c r="E12" s="95">
        <f t="shared" si="3"/>
        <v>18104.089322255113</v>
      </c>
      <c r="F12" s="106">
        <f t="shared" si="0"/>
        <v>8146.8401950148009</v>
      </c>
      <c r="I12" s="140">
        <v>8213.5119854996447</v>
      </c>
      <c r="J12" s="143">
        <f>'3 Vol'!C12</f>
        <v>845361.64533269766</v>
      </c>
      <c r="L12" s="138">
        <v>8213.5119854996447</v>
      </c>
    </row>
    <row r="13" spans="2:12" s="3" customFormat="1" ht="20.25" customHeight="1">
      <c r="B13" s="98">
        <v>10</v>
      </c>
      <c r="C13" s="104">
        <f t="shared" si="1"/>
        <v>46.694513614308455</v>
      </c>
      <c r="D13" s="107">
        <f t="shared" si="2"/>
        <v>0.45</v>
      </c>
      <c r="E13" s="95">
        <f t="shared" si="3"/>
        <v>18132.854068939894</v>
      </c>
      <c r="F13" s="106">
        <f t="shared" si="0"/>
        <v>8159.7843310229528</v>
      </c>
      <c r="I13" s="140">
        <v>8020.8980018886668</v>
      </c>
      <c r="J13" s="143">
        <f>'3 Vol'!C13</f>
        <v>846704.80118838232</v>
      </c>
      <c r="L13" s="138">
        <v>8020.8980018886668</v>
      </c>
    </row>
    <row r="14" spans="2:12" ht="20.25" customHeight="1">
      <c r="B14" s="98">
        <v>11</v>
      </c>
      <c r="C14" s="104">
        <f t="shared" si="1"/>
        <v>46.694513614308455</v>
      </c>
      <c r="D14" s="107">
        <f t="shared" si="2"/>
        <v>0.45</v>
      </c>
      <c r="E14" s="95">
        <f t="shared" si="3"/>
        <v>18161.167572499304</v>
      </c>
      <c r="F14" s="106">
        <f t="shared" si="0"/>
        <v>8172.5254076246865</v>
      </c>
      <c r="I14" s="11">
        <v>8033.4222147490727</v>
      </c>
      <c r="J14" s="143">
        <f>'3 Vol'!C14</f>
        <v>848026.88646580593</v>
      </c>
      <c r="L14" s="8">
        <v>8033.4222147490727</v>
      </c>
    </row>
    <row r="15" spans="2:12" ht="20.25" customHeight="1">
      <c r="B15" s="98">
        <v>12</v>
      </c>
      <c r="C15" s="104">
        <f t="shared" si="1"/>
        <v>46.694513614308455</v>
      </c>
      <c r="D15" s="107">
        <f t="shared" si="2"/>
        <v>0.45</v>
      </c>
      <c r="E15" s="95">
        <f t="shared" si="3"/>
        <v>18187.265293036446</v>
      </c>
      <c r="F15" s="106">
        <f t="shared" si="0"/>
        <v>8184.2693818664011</v>
      </c>
      <c r="I15" s="11">
        <v>8044.9662967625491</v>
      </c>
      <c r="J15" s="143">
        <f>'3 Vol'!C15</f>
        <v>849245.50683272991</v>
      </c>
      <c r="L15" s="8">
        <v>8044.9662967625491</v>
      </c>
    </row>
    <row r="16" spans="2:12" ht="20.25" customHeight="1">
      <c r="B16" s="98">
        <v>13</v>
      </c>
      <c r="C16" s="104">
        <f t="shared" si="1"/>
        <v>46.694513614308455</v>
      </c>
      <c r="D16" s="107">
        <f t="shared" si="2"/>
        <v>0.45</v>
      </c>
      <c r="E16" s="95">
        <f t="shared" si="3"/>
        <v>18213.36301357358</v>
      </c>
      <c r="F16" s="106">
        <f t="shared" si="0"/>
        <v>8196.0133561081111</v>
      </c>
      <c r="I16" s="11">
        <v>8056.5103787760245</v>
      </c>
      <c r="J16" s="143">
        <f>'3 Vol'!C16</f>
        <v>850464.12719965365</v>
      </c>
      <c r="L16" s="8">
        <v>8056.5103787760245</v>
      </c>
    </row>
    <row r="17" spans="2:12" ht="20.25" customHeight="1">
      <c r="B17" s="98">
        <v>14</v>
      </c>
      <c r="C17" s="104">
        <f t="shared" si="1"/>
        <v>46.694513614308455</v>
      </c>
      <c r="D17" s="107">
        <f t="shared" si="2"/>
        <v>0.45</v>
      </c>
      <c r="E17" s="95">
        <f t="shared" si="3"/>
        <v>18239.460734110726</v>
      </c>
      <c r="F17" s="106">
        <f t="shared" si="0"/>
        <v>8207.7573303498266</v>
      </c>
      <c r="I17" s="11">
        <v>8068.054460789499</v>
      </c>
      <c r="J17" s="143">
        <f>'3 Vol'!C17</f>
        <v>851682.74756657786</v>
      </c>
      <c r="L17" s="8">
        <v>8068.054460789499</v>
      </c>
    </row>
    <row r="18" spans="2:12" ht="20.25" customHeight="1">
      <c r="B18" s="98">
        <v>15</v>
      </c>
      <c r="C18" s="104">
        <f t="shared" si="1"/>
        <v>46.694513614308455</v>
      </c>
      <c r="D18" s="107">
        <f t="shared" si="2"/>
        <v>0.45</v>
      </c>
      <c r="E18" s="95">
        <f t="shared" si="3"/>
        <v>18265.558454647868</v>
      </c>
      <c r="F18" s="106">
        <f t="shared" si="0"/>
        <v>8219.5013045915402</v>
      </c>
      <c r="I18" s="11">
        <v>8079.5985428029744</v>
      </c>
      <c r="J18" s="143">
        <f>'3 Vol'!C18</f>
        <v>852901.36793350184</v>
      </c>
      <c r="L18" s="8">
        <v>8079.5985428029744</v>
      </c>
    </row>
    <row r="19" spans="2:12" ht="20.25" customHeight="1">
      <c r="B19" s="98">
        <v>16</v>
      </c>
      <c r="C19" s="104">
        <f t="shared" si="1"/>
        <v>46.694513614308455</v>
      </c>
      <c r="D19" s="107">
        <f t="shared" si="2"/>
        <v>0.45</v>
      </c>
      <c r="E19" s="95">
        <f t="shared" si="3"/>
        <v>18286.382771796681</v>
      </c>
      <c r="F19" s="106">
        <f t="shared" si="0"/>
        <v>8228.8722473085072</v>
      </c>
      <c r="I19" s="11">
        <v>8088.8099842657757</v>
      </c>
      <c r="J19" s="143">
        <f>'3 Vol'!C19</f>
        <v>853873.7492941157</v>
      </c>
      <c r="L19" s="8">
        <v>8088.8099842657757</v>
      </c>
    </row>
    <row r="20" spans="2:12" ht="20.25" customHeight="1">
      <c r="B20" s="98">
        <v>17</v>
      </c>
      <c r="C20" s="104">
        <f t="shared" si="1"/>
        <v>46.694513614308455</v>
      </c>
      <c r="D20" s="107">
        <f t="shared" si="2"/>
        <v>0.45</v>
      </c>
      <c r="E20" s="95">
        <f t="shared" si="3"/>
        <v>18307.617899466233</v>
      </c>
      <c r="F20" s="106">
        <f t="shared" si="0"/>
        <v>8238.4280547598046</v>
      </c>
      <c r="I20" s="11">
        <v>8098.2031439110833</v>
      </c>
      <c r="J20" s="143">
        <f>'3 Vol'!C20</f>
        <v>854865.31325218326</v>
      </c>
      <c r="L20" s="8">
        <v>8098.2031439110833</v>
      </c>
    </row>
    <row r="21" spans="2:12" ht="20.25" customHeight="1">
      <c r="B21" s="98">
        <v>18</v>
      </c>
      <c r="C21" s="104">
        <f t="shared" si="1"/>
        <v>46.694513614308455</v>
      </c>
      <c r="D21" s="107">
        <f t="shared" si="2"/>
        <v>0.45</v>
      </c>
      <c r="E21" s="95">
        <f t="shared" si="3"/>
        <v>18328.853027135792</v>
      </c>
      <c r="F21" s="106">
        <f t="shared" si="0"/>
        <v>8247.9838622111074</v>
      </c>
      <c r="I21" s="11">
        <v>8107.5963035563891</v>
      </c>
      <c r="J21" s="143">
        <f>'3 Vol'!C21</f>
        <v>855856.87721025094</v>
      </c>
      <c r="L21" s="8">
        <v>8107.5963035563891</v>
      </c>
    </row>
    <row r="22" spans="2:12" ht="20.25" customHeight="1">
      <c r="B22" s="98">
        <v>19</v>
      </c>
      <c r="C22" s="104">
        <f t="shared" si="1"/>
        <v>46.694513614308455</v>
      </c>
      <c r="D22" s="107">
        <f t="shared" si="2"/>
        <v>0.45</v>
      </c>
      <c r="E22" s="95">
        <f t="shared" si="3"/>
        <v>18350.088154805344</v>
      </c>
      <c r="F22" s="106">
        <f t="shared" si="0"/>
        <v>8257.5396696624048</v>
      </c>
      <c r="I22" s="11">
        <v>8116.9894632016913</v>
      </c>
      <c r="J22" s="143">
        <f>'3 Vol'!C22</f>
        <v>856848.44116831839</v>
      </c>
      <c r="L22" s="8">
        <v>8116.9894632016913</v>
      </c>
    </row>
    <row r="23" spans="2:12" ht="20.25" customHeight="1">
      <c r="B23" s="98">
        <v>20</v>
      </c>
      <c r="C23" s="104">
        <f t="shared" si="1"/>
        <v>46.694513614308455</v>
      </c>
      <c r="D23" s="107">
        <f t="shared" si="2"/>
        <v>0.45</v>
      </c>
      <c r="E23" s="95">
        <f t="shared" si="3"/>
        <v>18371.323282474896</v>
      </c>
      <c r="F23" s="106">
        <f t="shared" si="0"/>
        <v>8267.095477113704</v>
      </c>
      <c r="I23" s="11">
        <v>8126.382622846997</v>
      </c>
      <c r="J23" s="143">
        <f>'3 Vol'!C23</f>
        <v>857840.00512638595</v>
      </c>
      <c r="L23" s="8">
        <v>8126.382622846997</v>
      </c>
    </row>
    <row r="24" spans="2:12" ht="20.25" customHeight="1">
      <c r="B24" s="98">
        <v>21</v>
      </c>
      <c r="C24" s="104">
        <f t="shared" si="1"/>
        <v>46.694513614308455</v>
      </c>
      <c r="D24" s="107">
        <f t="shared" si="2"/>
        <v>0.45</v>
      </c>
      <c r="E24" s="95">
        <f t="shared" si="3"/>
        <v>18397.441219314358</v>
      </c>
      <c r="F24" s="106">
        <f t="shared" si="0"/>
        <v>8278.8485486914615</v>
      </c>
      <c r="I24" s="11">
        <v>8137.9356473522766</v>
      </c>
      <c r="J24" s="143">
        <f>'3 Vol'!C24</f>
        <v>859059.56948371383</v>
      </c>
      <c r="L24" s="8">
        <v>8137.9356473522766</v>
      </c>
    </row>
    <row r="25" spans="2:12" ht="20.25" customHeight="1">
      <c r="B25" s="98">
        <v>22</v>
      </c>
      <c r="C25" s="104">
        <f t="shared" si="1"/>
        <v>46.694513614308455</v>
      </c>
      <c r="D25" s="107">
        <f t="shared" si="2"/>
        <v>0.45</v>
      </c>
      <c r="E25" s="95">
        <f t="shared" si="3"/>
        <v>18415.578294013209</v>
      </c>
      <c r="F25" s="106">
        <f t="shared" si="0"/>
        <v>8287.0102323059436</v>
      </c>
      <c r="I25" s="11">
        <v>8145.9584123102368</v>
      </c>
      <c r="J25" s="143">
        <f>'3 Vol'!C25</f>
        <v>859906.47136516299</v>
      </c>
      <c r="L25" s="8">
        <v>8145.9584123102368</v>
      </c>
    </row>
    <row r="26" spans="2:12" ht="20.25" customHeight="1">
      <c r="B26" s="98">
        <v>23</v>
      </c>
      <c r="C26" s="104">
        <f t="shared" si="1"/>
        <v>46.694513614308455</v>
      </c>
      <c r="D26" s="107">
        <f t="shared" si="2"/>
        <v>0.45</v>
      </c>
      <c r="E26" s="95">
        <f t="shared" si="3"/>
        <v>18433.715368712055</v>
      </c>
      <c r="F26" s="106">
        <f t="shared" si="0"/>
        <v>8295.1719159204258</v>
      </c>
      <c r="I26" s="11">
        <v>8153.9811772681978</v>
      </c>
      <c r="J26" s="143">
        <f>'3 Vol'!C26</f>
        <v>860753.37324661214</v>
      </c>
      <c r="L26" s="8">
        <v>8153.9811772681978</v>
      </c>
    </row>
    <row r="27" spans="2:12" s="3" customFormat="1" ht="20.25" customHeight="1">
      <c r="B27" s="98">
        <v>24</v>
      </c>
      <c r="C27" s="104">
        <f t="shared" si="1"/>
        <v>46.694513614308455</v>
      </c>
      <c r="D27" s="107">
        <f t="shared" si="2"/>
        <v>0.45</v>
      </c>
      <c r="E27" s="95">
        <f t="shared" si="3"/>
        <v>18451.852443410909</v>
      </c>
      <c r="F27" s="106">
        <f t="shared" si="0"/>
        <v>8303.3335995349098</v>
      </c>
      <c r="I27" s="140">
        <v>8162.0039422261571</v>
      </c>
      <c r="J27" s="143">
        <f>'3 Vol'!C27</f>
        <v>861600.27512806142</v>
      </c>
      <c r="L27" s="138">
        <v>8162.0039422261571</v>
      </c>
    </row>
    <row r="28" spans="2:12" s="3" customFormat="1" ht="20.25" customHeight="1">
      <c r="B28" s="98">
        <v>25</v>
      </c>
      <c r="C28" s="104">
        <f t="shared" si="1"/>
        <v>46.694513614308455</v>
      </c>
      <c r="D28" s="107">
        <f t="shared" si="2"/>
        <v>0.45</v>
      </c>
      <c r="E28" s="95">
        <f t="shared" si="3"/>
        <v>18469.989518109756</v>
      </c>
      <c r="F28" s="106">
        <f t="shared" si="0"/>
        <v>8311.4952831493902</v>
      </c>
      <c r="I28" s="140">
        <v>8170.026707184119</v>
      </c>
      <c r="J28" s="143">
        <f>'3 Vol'!C28</f>
        <v>862447.17700951046</v>
      </c>
      <c r="L28" s="138">
        <v>8170.026707184119</v>
      </c>
    </row>
    <row r="29" spans="2:12" ht="20.25" customHeight="1">
      <c r="B29" s="98">
        <v>26</v>
      </c>
      <c r="C29" s="104">
        <f t="shared" si="1"/>
        <v>46.694513614308455</v>
      </c>
      <c r="D29" s="107">
        <f t="shared" si="2"/>
        <v>0.45</v>
      </c>
      <c r="E29" s="95">
        <f t="shared" si="3"/>
        <v>18496.107454949215</v>
      </c>
      <c r="F29" s="106">
        <f t="shared" si="0"/>
        <v>8323.2483547271477</v>
      </c>
      <c r="I29" s="11">
        <v>8181.579731689395</v>
      </c>
      <c r="J29" s="143">
        <f>'3 Vol'!C29</f>
        <v>863666.74136683822</v>
      </c>
      <c r="L29" s="8">
        <v>8181.579731689395</v>
      </c>
    </row>
    <row r="30" spans="2:12" s="3" customFormat="1" ht="20.25" customHeight="1">
      <c r="B30" s="98">
        <v>27</v>
      </c>
      <c r="C30" s="104">
        <f t="shared" si="1"/>
        <v>46.694513614308455</v>
      </c>
      <c r="D30" s="107">
        <f t="shared" si="2"/>
        <v>0.45</v>
      </c>
      <c r="E30" s="95">
        <f t="shared" si="3"/>
        <v>18515.12679959651</v>
      </c>
      <c r="F30" s="106">
        <f t="shared" si="0"/>
        <v>8331.8070598184295</v>
      </c>
      <c r="I30" s="140">
        <v>8189.9927604877703</v>
      </c>
      <c r="J30" s="143">
        <f>'3 Vol'!C30</f>
        <v>864554.84041440662</v>
      </c>
      <c r="L30" s="138">
        <v>8189.9927604877703</v>
      </c>
    </row>
    <row r="31" spans="2:12" s="3" customFormat="1" ht="20.25" customHeight="1">
      <c r="B31" s="98">
        <v>28</v>
      </c>
      <c r="C31" s="104">
        <f t="shared" si="1"/>
        <v>46.694513614308455</v>
      </c>
      <c r="D31" s="107">
        <f t="shared" si="2"/>
        <v>0.45</v>
      </c>
      <c r="E31" s="95">
        <f t="shared" si="3"/>
        <v>18534.59738736918</v>
      </c>
      <c r="F31" s="106">
        <f t="shared" si="0"/>
        <v>8340.5688243161312</v>
      </c>
      <c r="I31" s="140">
        <v>8198.6053924522494</v>
      </c>
      <c r="J31" s="143">
        <f>'3 Vol'!C31</f>
        <v>865464.01004023605</v>
      </c>
      <c r="L31" s="138">
        <v>8198.6053924522494</v>
      </c>
    </row>
    <row r="32" spans="2:12" s="3" customFormat="1" ht="20.25" customHeight="1">
      <c r="B32" s="98">
        <v>29</v>
      </c>
      <c r="C32" s="104">
        <f t="shared" si="1"/>
        <v>46.694513614308455</v>
      </c>
      <c r="D32" s="107">
        <f t="shared" si="2"/>
        <v>0.45</v>
      </c>
      <c r="E32" s="95">
        <f t="shared" si="3"/>
        <v>18554.950245090295</v>
      </c>
      <c r="F32" s="106">
        <f t="shared" si="0"/>
        <v>8349.7276102906326</v>
      </c>
      <c r="I32" s="140">
        <v>8207.6082882571409</v>
      </c>
      <c r="J32" s="143">
        <f>'3 Vol'!C32</f>
        <v>866414.37683218473</v>
      </c>
      <c r="L32" s="138">
        <v>8207.6082882571409</v>
      </c>
    </row>
    <row r="33" spans="2:12" s="3" customFormat="1" ht="20.25" customHeight="1" thickBot="1">
      <c r="B33" s="100">
        <v>30</v>
      </c>
      <c r="C33" s="368">
        <f t="shared" si="1"/>
        <v>46.694513614308455</v>
      </c>
      <c r="D33" s="369">
        <f t="shared" si="2"/>
        <v>0.45</v>
      </c>
      <c r="E33" s="370">
        <f t="shared" si="3"/>
        <v>18566.008943899287</v>
      </c>
      <c r="F33" s="371">
        <f t="shared" si="0"/>
        <v>8354.7040247546793</v>
      </c>
      <c r="I33" s="140">
        <v>8212.5</v>
      </c>
      <c r="J33" s="143">
        <f>'3 Vol'!C33</f>
        <v>866930.75739427784</v>
      </c>
      <c r="L33" s="138">
        <v>8212.5</v>
      </c>
    </row>
    <row r="34" spans="2:12" ht="20.25" customHeight="1">
      <c r="L34" s="248">
        <f>SUM(L4:L33)</f>
        <v>255846.14116559646</v>
      </c>
    </row>
    <row r="35" spans="2:12" ht="20.25" customHeight="1">
      <c r="F35" s="9">
        <f>SUM(F4:F34)</f>
        <v>255298.78154583689</v>
      </c>
    </row>
    <row r="36" spans="2:12" ht="20.25" customHeight="1"/>
    <row r="37" spans="2:12" ht="20.25" customHeight="1"/>
    <row r="38" spans="2:12" ht="20.25" customHeight="1"/>
    <row r="39" spans="2:12" ht="20.25" customHeight="1"/>
    <row r="40" spans="2:12" ht="20.25" customHeight="1"/>
    <row r="44" spans="2:12" ht="13.5" thickBot="1"/>
    <row r="45" spans="2:12" ht="26.25" thickBot="1">
      <c r="B45" s="38" t="s">
        <v>1</v>
      </c>
      <c r="C45" s="37" t="s">
        <v>17</v>
      </c>
      <c r="D45" s="24" t="s">
        <v>5</v>
      </c>
      <c r="E45" s="24" t="s">
        <v>6</v>
      </c>
      <c r="F45" s="24" t="s">
        <v>7</v>
      </c>
      <c r="I45" s="151" t="s">
        <v>90</v>
      </c>
      <c r="J45" s="152" t="s">
        <v>98</v>
      </c>
      <c r="L45" s="152" t="s">
        <v>99</v>
      </c>
    </row>
    <row r="46" spans="2:12">
      <c r="B46" s="31">
        <v>1</v>
      </c>
      <c r="C46" s="148">
        <f t="shared" ref="C46:C75" si="4">J46/E46</f>
        <v>44.623182478205464</v>
      </c>
      <c r="D46" s="28">
        <v>0.45</v>
      </c>
      <c r="E46" s="29">
        <f>F46/D46</f>
        <v>25845.29770977407</v>
      </c>
      <c r="F46" s="30">
        <v>11630.383969398332</v>
      </c>
      <c r="G46" s="3"/>
      <c r="H46" s="3"/>
      <c r="I46" s="140">
        <v>11630.383969398332</v>
      </c>
      <c r="J46" s="143">
        <v>1153299.4359067942</v>
      </c>
      <c r="K46" s="150"/>
      <c r="L46" s="138">
        <v>18211.303178178663</v>
      </c>
    </row>
    <row r="47" spans="2:12">
      <c r="B47" s="25">
        <v>2</v>
      </c>
      <c r="C47" s="148">
        <f t="shared" si="4"/>
        <v>44.534114249706043</v>
      </c>
      <c r="D47" s="18">
        <f>D46</f>
        <v>0.45</v>
      </c>
      <c r="E47" s="29">
        <f t="shared" ref="E47:E75" si="5">F47/D47</f>
        <v>24429.497168797796</v>
      </c>
      <c r="F47" s="30">
        <v>10993.273725959009</v>
      </c>
      <c r="I47" s="11">
        <v>10993.273725959009</v>
      </c>
      <c r="J47" s="143">
        <v>1087946.0179781113</v>
      </c>
      <c r="L47" s="8">
        <v>17213.691419897481</v>
      </c>
    </row>
    <row r="48" spans="2:12">
      <c r="B48" s="25">
        <v>3</v>
      </c>
      <c r="C48" s="148">
        <f t="shared" si="4"/>
        <v>44.53411424970605</v>
      </c>
      <c r="D48" s="18">
        <f t="shared" ref="D48:D75" si="6">D47</f>
        <v>0.45</v>
      </c>
      <c r="E48" s="29">
        <f t="shared" si="5"/>
        <v>22393.562262018342</v>
      </c>
      <c r="F48" s="30">
        <v>10077.103017908254</v>
      </c>
      <c r="I48" s="11">
        <v>10077.103017908254</v>
      </c>
      <c r="J48" s="143">
        <v>997277.46023463074</v>
      </c>
      <c r="L48" s="8">
        <v>15779.116037762265</v>
      </c>
    </row>
    <row r="49" spans="2:12">
      <c r="B49" s="25">
        <v>4</v>
      </c>
      <c r="C49" s="148">
        <f t="shared" si="4"/>
        <v>44.534114249706043</v>
      </c>
      <c r="D49" s="18">
        <f t="shared" si="6"/>
        <v>0.45</v>
      </c>
      <c r="E49" s="29">
        <f t="shared" si="5"/>
        <v>21048.935779698953</v>
      </c>
      <c r="F49" s="30">
        <v>9472.0211008645292</v>
      </c>
      <c r="I49" s="11">
        <v>9472.0211008645292</v>
      </c>
      <c r="J49" s="143">
        <v>937395.71084783855</v>
      </c>
      <c r="L49" s="8">
        <v>14831.655466562666</v>
      </c>
    </row>
    <row r="50" spans="2:12">
      <c r="B50" s="25">
        <v>5</v>
      </c>
      <c r="C50" s="148">
        <f t="shared" si="4"/>
        <v>44.534114249706036</v>
      </c>
      <c r="D50" s="18">
        <f t="shared" si="6"/>
        <v>0.45</v>
      </c>
      <c r="E50" s="29">
        <f t="shared" si="5"/>
        <v>19894.587936832209</v>
      </c>
      <c r="F50" s="30">
        <v>8952.564571574494</v>
      </c>
      <c r="G50" s="3"/>
      <c r="H50" s="3"/>
      <c r="I50" s="140">
        <v>8952.564571574494</v>
      </c>
      <c r="J50" s="143">
        <v>885987.85212970909</v>
      </c>
      <c r="K50" s="3"/>
      <c r="L50" s="138">
        <v>14018.270425477504</v>
      </c>
    </row>
    <row r="51" spans="2:12">
      <c r="B51" s="25">
        <v>6</v>
      </c>
      <c r="C51" s="148">
        <f t="shared" si="4"/>
        <v>44.534114249706043</v>
      </c>
      <c r="D51" s="18">
        <f t="shared" si="6"/>
        <v>0.45</v>
      </c>
      <c r="E51" s="29">
        <f t="shared" si="5"/>
        <v>19683.388490869555</v>
      </c>
      <c r="F51" s="30">
        <v>8857.5248208912999</v>
      </c>
      <c r="I51" s="11">
        <v>8857.5248208912999</v>
      </c>
      <c r="J51" s="143">
        <v>876582.27187373373</v>
      </c>
      <c r="L51" s="8">
        <v>13869.453523281994</v>
      </c>
    </row>
    <row r="52" spans="2:12">
      <c r="B52" s="25">
        <v>7</v>
      </c>
      <c r="C52" s="148">
        <f t="shared" si="4"/>
        <v>44.534114249706043</v>
      </c>
      <c r="D52" s="18">
        <f t="shared" si="6"/>
        <v>0.45</v>
      </c>
      <c r="E52" s="29">
        <f t="shared" si="5"/>
        <v>19180.555646419612</v>
      </c>
      <c r="F52" s="30">
        <v>8631.2500408888263</v>
      </c>
      <c r="I52" s="11">
        <v>8631.2500408888263</v>
      </c>
      <c r="J52" s="143">
        <v>854189.05653049541</v>
      </c>
      <c r="L52" s="8">
        <v>13515.143757495827</v>
      </c>
    </row>
    <row r="53" spans="2:12">
      <c r="B53" s="25">
        <v>8</v>
      </c>
      <c r="C53" s="148">
        <f t="shared" si="4"/>
        <v>45.127902439702133</v>
      </c>
      <c r="D53" s="18">
        <f t="shared" si="6"/>
        <v>0.45</v>
      </c>
      <c r="E53" s="29">
        <f t="shared" si="5"/>
        <v>18704.187688519665</v>
      </c>
      <c r="F53" s="30">
        <v>8416.8844598338492</v>
      </c>
      <c r="I53" s="11">
        <v>8416.8844598338492</v>
      </c>
      <c r="J53" s="143">
        <v>844080.75722139317</v>
      </c>
      <c r="L53" s="8">
        <v>13179.481874119452</v>
      </c>
    </row>
    <row r="54" spans="2:12">
      <c r="B54" s="25">
        <v>9</v>
      </c>
      <c r="C54" s="148">
        <f t="shared" si="4"/>
        <v>46.315478819694292</v>
      </c>
      <c r="D54" s="18">
        <f t="shared" si="6"/>
        <v>0.45</v>
      </c>
      <c r="E54" s="29">
        <f t="shared" si="5"/>
        <v>18252.248856665876</v>
      </c>
      <c r="F54" s="30">
        <v>8213.5119854996447</v>
      </c>
      <c r="G54" s="3"/>
      <c r="H54" s="3"/>
      <c r="I54" s="140">
        <v>8213.5119854996447</v>
      </c>
      <c r="J54" s="143">
        <v>845361.64533269766</v>
      </c>
      <c r="K54" s="3"/>
      <c r="L54" s="138">
        <v>12861.033420659825</v>
      </c>
    </row>
    <row r="55" spans="2:12">
      <c r="B55" s="25">
        <v>10</v>
      </c>
      <c r="C55" s="148">
        <f t="shared" si="4"/>
        <v>47.50305519968645</v>
      </c>
      <c r="D55" s="18">
        <f t="shared" si="6"/>
        <v>0.45</v>
      </c>
      <c r="E55" s="29">
        <f t="shared" si="5"/>
        <v>17824.217781974814</v>
      </c>
      <c r="F55" s="30">
        <v>8020.8980018886668</v>
      </c>
      <c r="G55" s="3"/>
      <c r="H55" s="3"/>
      <c r="I55" s="140">
        <v>8020.8980018886668</v>
      </c>
      <c r="J55" s="143">
        <v>846704.80118838232</v>
      </c>
      <c r="K55" s="3"/>
      <c r="L55" s="138">
        <v>12559.431026351453</v>
      </c>
    </row>
    <row r="56" spans="2:12">
      <c r="B56" s="25">
        <v>11</v>
      </c>
      <c r="C56" s="148">
        <f t="shared" si="4"/>
        <v>47.503055199686457</v>
      </c>
      <c r="D56" s="18">
        <f t="shared" si="6"/>
        <v>0.45</v>
      </c>
      <c r="E56" s="29">
        <f t="shared" si="5"/>
        <v>17852.049366109051</v>
      </c>
      <c r="F56" s="30">
        <v>8033.4222147490727</v>
      </c>
      <c r="I56" s="11">
        <v>8033.4222147490727</v>
      </c>
      <c r="J56" s="143">
        <v>848026.88646580593</v>
      </c>
      <c r="L56" s="8">
        <v>12579.041921234117</v>
      </c>
    </row>
    <row r="57" spans="2:12">
      <c r="B57" s="25">
        <v>12</v>
      </c>
      <c r="C57" s="148">
        <f t="shared" si="4"/>
        <v>47.50305519968645</v>
      </c>
      <c r="D57" s="18">
        <f t="shared" si="6"/>
        <v>0.45</v>
      </c>
      <c r="E57" s="29">
        <f t="shared" si="5"/>
        <v>17877.702881694553</v>
      </c>
      <c r="F57" s="30">
        <v>8044.9662967625491</v>
      </c>
      <c r="I57" s="11">
        <v>8044.9662967625491</v>
      </c>
      <c r="J57" s="143">
        <v>849245.50683272991</v>
      </c>
      <c r="L57" s="8">
        <v>12597.118089485684</v>
      </c>
    </row>
    <row r="58" spans="2:12">
      <c r="B58" s="25">
        <v>13</v>
      </c>
      <c r="C58" s="148">
        <f t="shared" si="4"/>
        <v>47.503055199686429</v>
      </c>
      <c r="D58" s="18">
        <f t="shared" si="6"/>
        <v>0.45</v>
      </c>
      <c r="E58" s="29">
        <f t="shared" si="5"/>
        <v>17903.356397280055</v>
      </c>
      <c r="F58" s="30">
        <v>8056.5103787760245</v>
      </c>
      <c r="I58" s="11">
        <v>8056.5103787760245</v>
      </c>
      <c r="J58" s="143">
        <v>850464.12719965365</v>
      </c>
      <c r="L58" s="8">
        <v>12615.19425773725</v>
      </c>
    </row>
    <row r="59" spans="2:12">
      <c r="B59" s="25">
        <v>14</v>
      </c>
      <c r="C59" s="148">
        <f t="shared" si="4"/>
        <v>47.50305519968645</v>
      </c>
      <c r="D59" s="18">
        <f t="shared" si="6"/>
        <v>0.45</v>
      </c>
      <c r="E59" s="29">
        <f t="shared" si="5"/>
        <v>17929.009912865553</v>
      </c>
      <c r="F59" s="30">
        <v>8068.054460789499</v>
      </c>
      <c r="I59" s="11">
        <v>8068.054460789499</v>
      </c>
      <c r="J59" s="143">
        <v>851682.74756657786</v>
      </c>
      <c r="L59" s="8">
        <v>12633.270425988814</v>
      </c>
    </row>
    <row r="60" spans="2:12">
      <c r="B60" s="25">
        <v>15</v>
      </c>
      <c r="C60" s="148">
        <f t="shared" si="4"/>
        <v>47.503055199686443</v>
      </c>
      <c r="D60" s="18">
        <f t="shared" si="6"/>
        <v>0.45</v>
      </c>
      <c r="E60" s="29">
        <f t="shared" si="5"/>
        <v>17954.663428451055</v>
      </c>
      <c r="F60" s="30">
        <v>8079.5985428029744</v>
      </c>
      <c r="I60" s="11">
        <v>8079.5985428029744</v>
      </c>
      <c r="J60" s="143">
        <v>852901.36793350184</v>
      </c>
      <c r="L60" s="8">
        <v>12651.34659424038</v>
      </c>
    </row>
    <row r="61" spans="2:12">
      <c r="B61" s="25">
        <v>16</v>
      </c>
      <c r="C61" s="148">
        <f t="shared" si="4"/>
        <v>47.503055199686457</v>
      </c>
      <c r="D61" s="18">
        <f t="shared" si="6"/>
        <v>0.45</v>
      </c>
      <c r="E61" s="29">
        <f t="shared" si="5"/>
        <v>17975.13329836839</v>
      </c>
      <c r="F61" s="30">
        <v>8088.8099842657757</v>
      </c>
      <c r="I61" s="11">
        <v>8088.8099842657757</v>
      </c>
      <c r="J61" s="143">
        <v>853873.7492941157</v>
      </c>
      <c r="L61" s="8">
        <v>12665.770224073111</v>
      </c>
    </row>
    <row r="62" spans="2:12">
      <c r="B62" s="25">
        <v>17</v>
      </c>
      <c r="C62" s="148">
        <f t="shared" si="4"/>
        <v>47.503055199686443</v>
      </c>
      <c r="D62" s="18">
        <f t="shared" si="6"/>
        <v>0.45</v>
      </c>
      <c r="E62" s="29">
        <f t="shared" si="5"/>
        <v>17996.006986469074</v>
      </c>
      <c r="F62" s="30">
        <v>8098.2031439110833</v>
      </c>
      <c r="I62" s="11">
        <v>8098.2031439110833</v>
      </c>
      <c r="J62" s="143">
        <v>854865.31325218326</v>
      </c>
      <c r="L62" s="8">
        <v>12680.478395235114</v>
      </c>
    </row>
    <row r="63" spans="2:12">
      <c r="B63" s="25">
        <v>18</v>
      </c>
      <c r="C63" s="148">
        <f t="shared" si="4"/>
        <v>47.503055199686443</v>
      </c>
      <c r="D63" s="18">
        <f t="shared" si="6"/>
        <v>0.45</v>
      </c>
      <c r="E63" s="29">
        <f t="shared" si="5"/>
        <v>18016.880674569755</v>
      </c>
      <c r="F63" s="30">
        <v>8107.5963035563891</v>
      </c>
      <c r="I63" s="11">
        <v>8107.5963035563891</v>
      </c>
      <c r="J63" s="143">
        <v>855856.87721025094</v>
      </c>
      <c r="L63" s="8">
        <v>12695.186566397115</v>
      </c>
    </row>
    <row r="64" spans="2:12">
      <c r="B64" s="25">
        <v>19</v>
      </c>
      <c r="C64" s="148">
        <f t="shared" si="4"/>
        <v>47.503055199686457</v>
      </c>
      <c r="D64" s="18">
        <f t="shared" si="6"/>
        <v>0.45</v>
      </c>
      <c r="E64" s="29">
        <f t="shared" si="5"/>
        <v>18037.754362670425</v>
      </c>
      <c r="F64" s="30">
        <v>8116.9894632016913</v>
      </c>
      <c r="I64" s="11">
        <v>8116.9894632016913</v>
      </c>
      <c r="J64" s="143">
        <v>856848.44116831839</v>
      </c>
      <c r="L64" s="8">
        <v>12709.894737559109</v>
      </c>
    </row>
    <row r="65" spans="2:12">
      <c r="B65" s="25">
        <v>20</v>
      </c>
      <c r="C65" s="148">
        <f t="shared" si="4"/>
        <v>47.50305519968645</v>
      </c>
      <c r="D65" s="18">
        <f t="shared" si="6"/>
        <v>0.45</v>
      </c>
      <c r="E65" s="29">
        <f t="shared" si="5"/>
        <v>18058.628050771105</v>
      </c>
      <c r="F65" s="30">
        <v>8126.382622846997</v>
      </c>
      <c r="I65" s="11">
        <v>8126.382622846997</v>
      </c>
      <c r="J65" s="143">
        <v>857840.00512638595</v>
      </c>
      <c r="L65" s="8">
        <v>12724.60290872111</v>
      </c>
    </row>
    <row r="66" spans="2:12">
      <c r="B66" s="25">
        <v>21</v>
      </c>
      <c r="C66" s="148">
        <f t="shared" si="4"/>
        <v>47.503055199686443</v>
      </c>
      <c r="D66" s="18">
        <f t="shared" si="6"/>
        <v>0.45</v>
      </c>
      <c r="E66" s="29">
        <f t="shared" si="5"/>
        <v>18084.301438560615</v>
      </c>
      <c r="F66" s="30">
        <v>8137.9356473522766</v>
      </c>
      <c r="I66" s="11">
        <v>8137.9356473522766</v>
      </c>
      <c r="J66" s="143">
        <v>859059.56948371383</v>
      </c>
      <c r="L66" s="8">
        <v>12742.693079470773</v>
      </c>
    </row>
    <row r="67" spans="2:12">
      <c r="B67" s="25">
        <v>22</v>
      </c>
      <c r="C67" s="148">
        <f t="shared" si="4"/>
        <v>47.503055199686443</v>
      </c>
      <c r="D67" s="18">
        <f t="shared" si="6"/>
        <v>0.45</v>
      </c>
      <c r="E67" s="29">
        <f t="shared" si="5"/>
        <v>18102.12980513386</v>
      </c>
      <c r="F67" s="30">
        <v>8145.9584123102368</v>
      </c>
      <c r="I67" s="11">
        <v>8145.9584123102368</v>
      </c>
      <c r="J67" s="143">
        <v>859906.47136516299</v>
      </c>
      <c r="L67" s="8">
        <v>12755.25543384885</v>
      </c>
    </row>
    <row r="68" spans="2:12">
      <c r="B68" s="25">
        <v>23</v>
      </c>
      <c r="C68" s="148">
        <f t="shared" si="4"/>
        <v>47.50305519968645</v>
      </c>
      <c r="D68" s="18">
        <f t="shared" si="6"/>
        <v>0.45</v>
      </c>
      <c r="E68" s="29">
        <f t="shared" si="5"/>
        <v>18119.958171707105</v>
      </c>
      <c r="F68" s="30">
        <v>8153.9811772681978</v>
      </c>
      <c r="I68" s="11">
        <v>8153.9811772681978</v>
      </c>
      <c r="J68" s="143">
        <v>860753.37324661214</v>
      </c>
      <c r="L68" s="8">
        <v>12767.817788226928</v>
      </c>
    </row>
    <row r="69" spans="2:12">
      <c r="B69" s="25">
        <v>24</v>
      </c>
      <c r="C69" s="148">
        <f t="shared" si="4"/>
        <v>47.503055199686457</v>
      </c>
      <c r="D69" s="18">
        <f t="shared" si="6"/>
        <v>0.45</v>
      </c>
      <c r="E69" s="29">
        <f t="shared" si="5"/>
        <v>18137.78653828035</v>
      </c>
      <c r="F69" s="30">
        <v>8162.0039422261571</v>
      </c>
      <c r="G69" s="3"/>
      <c r="H69" s="3"/>
      <c r="I69" s="140">
        <v>8162.0039422261571</v>
      </c>
      <c r="J69" s="143">
        <v>861600.27512806142</v>
      </c>
      <c r="K69" s="3"/>
      <c r="L69" s="138">
        <v>12780.380142605003</v>
      </c>
    </row>
    <row r="70" spans="2:12">
      <c r="B70" s="25">
        <v>25</v>
      </c>
      <c r="C70" s="148">
        <f t="shared" si="4"/>
        <v>47.503055199686443</v>
      </c>
      <c r="D70" s="18">
        <f t="shared" si="6"/>
        <v>0.45</v>
      </c>
      <c r="E70" s="29">
        <f t="shared" si="5"/>
        <v>18155.614904853599</v>
      </c>
      <c r="F70" s="30">
        <v>8170.026707184119</v>
      </c>
      <c r="G70" s="3"/>
      <c r="H70" s="3"/>
      <c r="I70" s="140">
        <v>8170.026707184119</v>
      </c>
      <c r="J70" s="143">
        <v>862447.17700951046</v>
      </c>
      <c r="K70" s="3"/>
      <c r="L70" s="138">
        <v>12792.942496983082</v>
      </c>
    </row>
    <row r="71" spans="2:12">
      <c r="B71" s="25">
        <v>26</v>
      </c>
      <c r="C71" s="148">
        <f t="shared" si="4"/>
        <v>47.50305519968645</v>
      </c>
      <c r="D71" s="18">
        <f t="shared" si="6"/>
        <v>0.45</v>
      </c>
      <c r="E71" s="29">
        <f t="shared" si="5"/>
        <v>18181.288292643101</v>
      </c>
      <c r="F71" s="30">
        <v>8181.579731689395</v>
      </c>
      <c r="I71" s="11">
        <v>8181.579731689395</v>
      </c>
      <c r="J71" s="143">
        <v>863666.74136683822</v>
      </c>
      <c r="L71" s="8">
        <v>12811.032667732741</v>
      </c>
    </row>
    <row r="72" spans="2:12">
      <c r="B72" s="25">
        <v>27</v>
      </c>
      <c r="C72" s="148">
        <f t="shared" si="4"/>
        <v>47.50305519968645</v>
      </c>
      <c r="D72" s="18">
        <f t="shared" si="6"/>
        <v>0.45</v>
      </c>
      <c r="E72" s="29">
        <f t="shared" si="5"/>
        <v>18199.983912195046</v>
      </c>
      <c r="F72" s="30">
        <v>8189.9927604877703</v>
      </c>
      <c r="G72" s="3"/>
      <c r="H72" s="3"/>
      <c r="I72" s="140">
        <v>8189.9927604877703</v>
      </c>
      <c r="J72" s="143">
        <v>864554.84041440662</v>
      </c>
      <c r="K72" s="3"/>
      <c r="L72" s="138">
        <v>12824.206112263642</v>
      </c>
    </row>
    <row r="73" spans="2:12">
      <c r="B73" s="25">
        <v>28</v>
      </c>
      <c r="C73" s="148">
        <f t="shared" si="4"/>
        <v>47.503055199686457</v>
      </c>
      <c r="D73" s="18">
        <f t="shared" si="6"/>
        <v>0.45</v>
      </c>
      <c r="E73" s="29">
        <f t="shared" si="5"/>
        <v>18219.123094338331</v>
      </c>
      <c r="F73" s="30">
        <v>8198.6053924522494</v>
      </c>
      <c r="G73" s="3"/>
      <c r="H73" s="3"/>
      <c r="I73" s="140">
        <v>8198.6053924522494</v>
      </c>
      <c r="J73" s="143">
        <v>865464.01004023605</v>
      </c>
      <c r="K73" s="3"/>
      <c r="L73" s="138">
        <v>12837.692103119998</v>
      </c>
    </row>
    <row r="74" spans="2:12">
      <c r="B74" s="25">
        <v>29</v>
      </c>
      <c r="C74" s="148">
        <f t="shared" si="4"/>
        <v>47.503055199686472</v>
      </c>
      <c r="D74" s="18">
        <f t="shared" si="6"/>
        <v>0.45</v>
      </c>
      <c r="E74" s="29">
        <f t="shared" si="5"/>
        <v>18239.129529460311</v>
      </c>
      <c r="F74" s="30">
        <v>8207.6082882571409</v>
      </c>
      <c r="G74" s="3"/>
      <c r="H74" s="3"/>
      <c r="I74" s="140">
        <v>8207.6082882571409</v>
      </c>
      <c r="J74" s="143">
        <v>866414.37683218473</v>
      </c>
      <c r="K74" s="3"/>
      <c r="L74" s="138">
        <v>12851.789184129175</v>
      </c>
    </row>
    <row r="75" spans="2:12" ht="13.5" thickBot="1">
      <c r="B75" s="26">
        <v>30</v>
      </c>
      <c r="C75" s="148">
        <f t="shared" si="4"/>
        <v>47.503055199686457</v>
      </c>
      <c r="D75" s="18">
        <f t="shared" si="6"/>
        <v>0.45</v>
      </c>
      <c r="E75" s="29">
        <f t="shared" si="5"/>
        <v>18250</v>
      </c>
      <c r="F75" s="30">
        <v>8212.5</v>
      </c>
      <c r="G75" s="3"/>
      <c r="H75" s="3"/>
      <c r="I75" s="140">
        <v>8212.5</v>
      </c>
      <c r="J75" s="143">
        <v>866930.75739427784</v>
      </c>
      <c r="K75" s="3"/>
      <c r="L75" s="138">
        <v>12859.448814786585</v>
      </c>
    </row>
    <row r="77" spans="2:12">
      <c r="C77" s="9">
        <f>AVERAGE(C46:C75)</f>
        <v>46.694513614308455</v>
      </c>
      <c r="F77" s="9">
        <f>SUM(F46:F76)</f>
        <v>255846.14116559646</v>
      </c>
    </row>
  </sheetData>
  <mergeCells count="1">
    <mergeCell ref="B1:F1"/>
  </mergeCells>
  <phoneticPr fontId="12" type="noConversion"/>
  <printOptions horizontalCentered="1"/>
  <pageMargins left="0.98425196850393704" right="0.59055118110236227" top="1.9685039370078741" bottom="1.0629921259842521" header="0.39370078740157483" footer="0.39370078740157483"/>
  <pageSetup paperSize="9" scale="82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42">
    <tabColor rgb="FF00B050"/>
  </sheetPr>
  <dimension ref="B1:L73"/>
  <sheetViews>
    <sheetView showGridLines="0" workbookViewId="0">
      <selection activeCell="B20" sqref="B20"/>
    </sheetView>
  </sheetViews>
  <sheetFormatPr defaultColWidth="11.5703125" defaultRowHeight="12.75"/>
  <cols>
    <col min="1" max="1" width="2.7109375" style="2" customWidth="1"/>
    <col min="2" max="2" width="7.85546875" style="2" customWidth="1"/>
    <col min="3" max="6" width="19.140625" style="2" customWidth="1"/>
    <col min="7" max="7" width="2.7109375" style="2" customWidth="1"/>
    <col min="8" max="8" width="11.5703125" style="2" customWidth="1"/>
    <col min="9" max="9" width="14.7109375" style="6" hidden="1" customWidth="1"/>
    <col min="10" max="10" width="12.85546875" style="2" hidden="1" customWidth="1"/>
    <col min="11" max="12" width="0" style="2" hidden="1" customWidth="1"/>
    <col min="13" max="16384" width="11.5703125" style="2"/>
  </cols>
  <sheetData>
    <row r="1" spans="2:11" s="1" customFormat="1" ht="30" customHeight="1">
      <c r="B1" s="1208" t="s">
        <v>51</v>
      </c>
      <c r="C1" s="1208"/>
      <c r="D1" s="1208"/>
      <c r="E1" s="1208"/>
      <c r="F1" s="1208"/>
      <c r="I1" s="139"/>
    </row>
    <row r="2" spans="2:11" ht="20.25" customHeight="1" thickBot="1">
      <c r="B2" s="89" t="s">
        <v>91</v>
      </c>
      <c r="C2" s="41"/>
      <c r="D2" s="41"/>
      <c r="E2" s="41"/>
      <c r="F2" s="134"/>
    </row>
    <row r="3" spans="2:11" ht="48" customHeight="1" thickBot="1">
      <c r="B3" s="413" t="s">
        <v>1</v>
      </c>
      <c r="C3" s="414" t="s">
        <v>17</v>
      </c>
      <c r="D3" s="49" t="s">
        <v>5</v>
      </c>
      <c r="E3" s="49" t="s">
        <v>6</v>
      </c>
      <c r="F3" s="49" t="s">
        <v>7</v>
      </c>
      <c r="I3" s="24" t="s">
        <v>92</v>
      </c>
    </row>
    <row r="4" spans="2:11" s="3" customFormat="1" ht="20.25" customHeight="1">
      <c r="B4" s="93">
        <v>1</v>
      </c>
      <c r="C4" s="94">
        <v>1628</v>
      </c>
      <c r="D4" s="105">
        <v>1.05</v>
      </c>
      <c r="E4" s="95">
        <f>K4/C4</f>
        <v>708.41488692063524</v>
      </c>
      <c r="F4" s="106">
        <f>E4*D4</f>
        <v>743.83563126666706</v>
      </c>
      <c r="I4" s="140">
        <v>778.49227965733564</v>
      </c>
      <c r="J4" s="141"/>
      <c r="K4" s="143">
        <f>'3 Vol'!C4</f>
        <v>1153299.4359067942</v>
      </c>
    </row>
    <row r="5" spans="2:11" ht="20.25" customHeight="1">
      <c r="B5" s="98">
        <v>2</v>
      </c>
      <c r="C5" s="94">
        <f>C4</f>
        <v>1628</v>
      </c>
      <c r="D5" s="107">
        <f>D4</f>
        <v>1.05</v>
      </c>
      <c r="E5" s="95">
        <f>K5/C5</f>
        <v>668.27150981456464</v>
      </c>
      <c r="F5" s="106">
        <f>E5*D5</f>
        <v>701.68508530529289</v>
      </c>
      <c r="I5" s="11">
        <v>735.84661919477924</v>
      </c>
      <c r="J5" s="142"/>
      <c r="K5" s="143">
        <f>'3 Vol'!C5</f>
        <v>1087946.0179781113</v>
      </c>
    </row>
    <row r="6" spans="2:11" ht="20.25" customHeight="1">
      <c r="B6" s="98">
        <v>3</v>
      </c>
      <c r="C6" s="94">
        <f t="shared" ref="C6:C33" si="0">C5</f>
        <v>1628</v>
      </c>
      <c r="D6" s="107">
        <f t="shared" ref="D6:D33" si="1">D5</f>
        <v>1.05</v>
      </c>
      <c r="E6" s="95">
        <f t="shared" ref="E6:E33" si="2">K6/C6</f>
        <v>612.57829252741442</v>
      </c>
      <c r="F6" s="106">
        <f t="shared" ref="F6:F33" si="3">E6*D6</f>
        <v>643.20720715378513</v>
      </c>
      <c r="I6" s="11">
        <v>674.52174591954167</v>
      </c>
      <c r="J6" s="142"/>
      <c r="K6" s="143">
        <f>'3 Vol'!C6</f>
        <v>997277.46023463074</v>
      </c>
    </row>
    <row r="7" spans="2:11" ht="20.25" customHeight="1">
      <c r="B7" s="98">
        <v>4</v>
      </c>
      <c r="C7" s="94">
        <f t="shared" si="0"/>
        <v>1628</v>
      </c>
      <c r="D7" s="107">
        <f t="shared" si="1"/>
        <v>1.05</v>
      </c>
      <c r="E7" s="95">
        <f t="shared" si="2"/>
        <v>575.79589118417596</v>
      </c>
      <c r="F7" s="106">
        <f t="shared" si="3"/>
        <v>604.58568574338483</v>
      </c>
      <c r="I7" s="11">
        <v>634.01993598633385</v>
      </c>
      <c r="J7" s="142"/>
      <c r="K7" s="143">
        <f>'3 Vol'!C7</f>
        <v>937395.71084783855</v>
      </c>
    </row>
    <row r="8" spans="2:11" s="3" customFormat="1" ht="20.25" customHeight="1">
      <c r="B8" s="98">
        <v>5</v>
      </c>
      <c r="C8" s="94">
        <f t="shared" si="0"/>
        <v>1628</v>
      </c>
      <c r="D8" s="107">
        <f t="shared" si="1"/>
        <v>1.05</v>
      </c>
      <c r="E8" s="95">
        <f t="shared" si="2"/>
        <v>544.2185823892562</v>
      </c>
      <c r="F8" s="106">
        <f t="shared" si="3"/>
        <v>571.42951150871909</v>
      </c>
      <c r="I8" s="140">
        <v>599.24955362114974</v>
      </c>
      <c r="J8" s="141"/>
      <c r="K8" s="143">
        <f>'3 Vol'!C8</f>
        <v>885987.85212970909</v>
      </c>
    </row>
    <row r="9" spans="2:11" ht="20.25" customHeight="1">
      <c r="B9" s="98">
        <v>6</v>
      </c>
      <c r="C9" s="94">
        <f t="shared" si="0"/>
        <v>1628</v>
      </c>
      <c r="D9" s="107">
        <f t="shared" si="1"/>
        <v>1.05</v>
      </c>
      <c r="E9" s="95">
        <f t="shared" si="2"/>
        <v>538.44119893963989</v>
      </c>
      <c r="F9" s="106">
        <f t="shared" si="3"/>
        <v>565.36325888662191</v>
      </c>
      <c r="I9" s="11">
        <v>592.88796552895087</v>
      </c>
      <c r="J9" s="142"/>
      <c r="K9" s="143">
        <f>'3 Vol'!C9</f>
        <v>876582.27187373373</v>
      </c>
    </row>
    <row r="10" spans="2:11" ht="20.25" customHeight="1">
      <c r="B10" s="98">
        <v>7</v>
      </c>
      <c r="C10" s="94">
        <f t="shared" si="0"/>
        <v>1628</v>
      </c>
      <c r="D10" s="107">
        <f t="shared" si="1"/>
        <v>1.05</v>
      </c>
      <c r="E10" s="95">
        <f t="shared" si="2"/>
        <v>524.6861526600095</v>
      </c>
      <c r="F10" s="106">
        <f t="shared" si="3"/>
        <v>550.92046029301002</v>
      </c>
      <c r="I10" s="11">
        <v>577.74201937819794</v>
      </c>
      <c r="J10" s="142"/>
      <c r="K10" s="143">
        <f>'3 Vol'!C10</f>
        <v>854189.05653049541</v>
      </c>
    </row>
    <row r="11" spans="2:11" ht="20.25" customHeight="1">
      <c r="B11" s="98">
        <v>8</v>
      </c>
      <c r="C11" s="94">
        <f t="shared" si="0"/>
        <v>1628</v>
      </c>
      <c r="D11" s="107">
        <f t="shared" si="1"/>
        <v>1.05</v>
      </c>
      <c r="E11" s="95">
        <f t="shared" si="2"/>
        <v>518.47712360036439</v>
      </c>
      <c r="F11" s="106">
        <f t="shared" si="3"/>
        <v>544.40097978038261</v>
      </c>
      <c r="I11" s="11">
        <v>563.39322828801073</v>
      </c>
      <c r="J11" s="142"/>
      <c r="K11" s="143">
        <f>'3 Vol'!C11</f>
        <v>844080.75722139317</v>
      </c>
    </row>
    <row r="12" spans="2:11" s="3" customFormat="1" ht="20.25" customHeight="1">
      <c r="B12" s="98">
        <v>9</v>
      </c>
      <c r="C12" s="94">
        <f t="shared" si="0"/>
        <v>1628</v>
      </c>
      <c r="D12" s="107">
        <f t="shared" si="1"/>
        <v>1.05</v>
      </c>
      <c r="E12" s="95">
        <f t="shared" si="2"/>
        <v>519.2639099095195</v>
      </c>
      <c r="F12" s="106">
        <f t="shared" si="3"/>
        <v>545.22710540499554</v>
      </c>
      <c r="I12" s="140">
        <v>549.78027263834633</v>
      </c>
      <c r="J12" s="141"/>
      <c r="K12" s="143">
        <f>'3 Vol'!C12</f>
        <v>845361.64533269766</v>
      </c>
    </row>
    <row r="13" spans="2:11" s="3" customFormat="1" ht="20.25" customHeight="1">
      <c r="B13" s="98">
        <v>10</v>
      </c>
      <c r="C13" s="94">
        <f t="shared" si="0"/>
        <v>1628</v>
      </c>
      <c r="D13" s="107">
        <f t="shared" si="1"/>
        <v>1.05</v>
      </c>
      <c r="E13" s="95">
        <f t="shared" si="2"/>
        <v>520.08894421890807</v>
      </c>
      <c r="F13" s="106">
        <f t="shared" si="3"/>
        <v>546.09339142985345</v>
      </c>
      <c r="I13" s="140">
        <v>536.88744815467214</v>
      </c>
      <c r="J13" s="141"/>
      <c r="K13" s="143">
        <f>'3 Vol'!C13</f>
        <v>846704.80118838232</v>
      </c>
    </row>
    <row r="14" spans="2:11" ht="20.25" customHeight="1">
      <c r="B14" s="98">
        <v>11</v>
      </c>
      <c r="C14" s="94">
        <f t="shared" si="0"/>
        <v>1628</v>
      </c>
      <c r="D14" s="107">
        <f t="shared" si="1"/>
        <v>1.05</v>
      </c>
      <c r="E14" s="95">
        <f t="shared" si="2"/>
        <v>520.90103591265722</v>
      </c>
      <c r="F14" s="106">
        <f t="shared" si="3"/>
        <v>546.94608770829007</v>
      </c>
      <c r="I14" s="11">
        <v>537.72576983401348</v>
      </c>
      <c r="J14" s="142"/>
      <c r="K14" s="143">
        <f>'3 Vol'!C14</f>
        <v>848026.88646580593</v>
      </c>
    </row>
    <row r="15" spans="2:11" ht="20.25" customHeight="1">
      <c r="B15" s="98">
        <v>12</v>
      </c>
      <c r="C15" s="94">
        <f t="shared" si="0"/>
        <v>1628</v>
      </c>
      <c r="D15" s="107">
        <f t="shared" si="1"/>
        <v>1.05</v>
      </c>
      <c r="E15" s="95">
        <f t="shared" si="2"/>
        <v>521.64957422157852</v>
      </c>
      <c r="F15" s="106">
        <f t="shared" si="3"/>
        <v>547.73205293265744</v>
      </c>
      <c r="I15" s="11">
        <v>538.4984853992836</v>
      </c>
      <c r="J15" s="142"/>
      <c r="K15" s="143">
        <f>'3 Vol'!C15</f>
        <v>849245.50683272991</v>
      </c>
    </row>
    <row r="16" spans="2:11" ht="20.25" customHeight="1">
      <c r="B16" s="98">
        <v>13</v>
      </c>
      <c r="C16" s="94">
        <f t="shared" si="0"/>
        <v>1628</v>
      </c>
      <c r="D16" s="107">
        <f t="shared" si="1"/>
        <v>1.05</v>
      </c>
      <c r="E16" s="95">
        <f t="shared" si="2"/>
        <v>522.39811253049982</v>
      </c>
      <c r="F16" s="106">
        <f t="shared" si="3"/>
        <v>548.51801815702481</v>
      </c>
      <c r="I16" s="11">
        <v>539.27120096455371</v>
      </c>
      <c r="J16" s="142"/>
      <c r="K16" s="143">
        <f>'3 Vol'!C16</f>
        <v>850464.12719965365</v>
      </c>
    </row>
    <row r="17" spans="2:11" ht="20.25" customHeight="1">
      <c r="B17" s="98">
        <v>14</v>
      </c>
      <c r="C17" s="94">
        <f t="shared" si="0"/>
        <v>1628</v>
      </c>
      <c r="D17" s="107">
        <f t="shared" si="1"/>
        <v>1.05</v>
      </c>
      <c r="E17" s="95">
        <f t="shared" si="2"/>
        <v>523.14665083942134</v>
      </c>
      <c r="F17" s="106">
        <f t="shared" si="3"/>
        <v>549.30398338139241</v>
      </c>
      <c r="I17" s="11">
        <v>540.04391652982372</v>
      </c>
      <c r="J17" s="142"/>
      <c r="K17" s="143">
        <f>'3 Vol'!C17</f>
        <v>851682.74756657786</v>
      </c>
    </row>
    <row r="18" spans="2:11" ht="20.25" customHeight="1">
      <c r="B18" s="98">
        <v>15</v>
      </c>
      <c r="C18" s="94">
        <f t="shared" si="0"/>
        <v>1628</v>
      </c>
      <c r="D18" s="107">
        <f t="shared" si="1"/>
        <v>1.05</v>
      </c>
      <c r="E18" s="95">
        <f t="shared" si="2"/>
        <v>523.89518914834264</v>
      </c>
      <c r="F18" s="106">
        <f t="shared" si="3"/>
        <v>550.08994860575979</v>
      </c>
      <c r="I18" s="11">
        <v>540.81663209509384</v>
      </c>
      <c r="J18" s="142"/>
      <c r="K18" s="143">
        <f>'3 Vol'!C18</f>
        <v>852901.36793350184</v>
      </c>
    </row>
    <row r="19" spans="2:11" ht="20.25" customHeight="1">
      <c r="B19" s="98">
        <v>16</v>
      </c>
      <c r="C19" s="94">
        <f t="shared" si="0"/>
        <v>1628</v>
      </c>
      <c r="D19" s="107">
        <f t="shared" si="1"/>
        <v>1.05</v>
      </c>
      <c r="E19" s="95">
        <f t="shared" si="2"/>
        <v>524.49247499638557</v>
      </c>
      <c r="F19" s="106">
        <f t="shared" si="3"/>
        <v>550.7170987462049</v>
      </c>
      <c r="I19" s="11">
        <v>541.43320985230071</v>
      </c>
      <c r="J19" s="142"/>
      <c r="K19" s="143">
        <f>'3 Vol'!C19</f>
        <v>853873.7492941157</v>
      </c>
    </row>
    <row r="20" spans="2:11" ht="20.25" customHeight="1">
      <c r="B20" s="98">
        <v>17</v>
      </c>
      <c r="C20" s="94">
        <f t="shared" si="0"/>
        <v>1628</v>
      </c>
      <c r="D20" s="107">
        <f t="shared" si="1"/>
        <v>1.05</v>
      </c>
      <c r="E20" s="95">
        <f t="shared" si="2"/>
        <v>525.10154376669732</v>
      </c>
      <c r="F20" s="106">
        <f t="shared" si="3"/>
        <v>551.35662095503221</v>
      </c>
      <c r="I20" s="11">
        <v>542.06195111180693</v>
      </c>
      <c r="J20" s="142"/>
      <c r="K20" s="143">
        <f>'3 Vol'!C20</f>
        <v>854865.31325218326</v>
      </c>
    </row>
    <row r="21" spans="2:11" ht="20.25" customHeight="1">
      <c r="B21" s="98">
        <v>18</v>
      </c>
      <c r="C21" s="94">
        <f t="shared" si="0"/>
        <v>1628</v>
      </c>
      <c r="D21" s="107">
        <f t="shared" si="1"/>
        <v>1.05</v>
      </c>
      <c r="E21" s="95">
        <f t="shared" si="2"/>
        <v>525.71061253700918</v>
      </c>
      <c r="F21" s="106">
        <f t="shared" si="3"/>
        <v>551.99614316385964</v>
      </c>
      <c r="I21" s="11">
        <v>542.69069237131305</v>
      </c>
      <c r="J21" s="142"/>
      <c r="K21" s="143">
        <f>'3 Vol'!C21</f>
        <v>855856.87721025094</v>
      </c>
    </row>
    <row r="22" spans="2:11" ht="20.25" customHeight="1">
      <c r="B22" s="98">
        <v>19</v>
      </c>
      <c r="C22" s="94">
        <f t="shared" si="0"/>
        <v>1628</v>
      </c>
      <c r="D22" s="107">
        <f t="shared" si="1"/>
        <v>1.05</v>
      </c>
      <c r="E22" s="95">
        <f t="shared" si="2"/>
        <v>526.31968130732082</v>
      </c>
      <c r="F22" s="106">
        <f t="shared" si="3"/>
        <v>552.63566537268684</v>
      </c>
      <c r="I22" s="11">
        <v>543.31943363081893</v>
      </c>
      <c r="J22" s="142"/>
      <c r="K22" s="143">
        <f>'3 Vol'!C22</f>
        <v>856848.44116831839</v>
      </c>
    </row>
    <row r="23" spans="2:11" ht="20.25" customHeight="1">
      <c r="B23" s="98">
        <v>20</v>
      </c>
      <c r="C23" s="94">
        <f t="shared" si="0"/>
        <v>1628</v>
      </c>
      <c r="D23" s="107">
        <f t="shared" si="1"/>
        <v>1.05</v>
      </c>
      <c r="E23" s="95">
        <f t="shared" si="2"/>
        <v>526.92875007763269</v>
      </c>
      <c r="F23" s="106">
        <f t="shared" si="3"/>
        <v>553.27518758151439</v>
      </c>
      <c r="I23" s="11">
        <v>543.94817489032505</v>
      </c>
      <c r="J23" s="142"/>
      <c r="K23" s="143">
        <f>'3 Vol'!C23</f>
        <v>857840.00512638595</v>
      </c>
    </row>
    <row r="24" spans="2:11" ht="20.25" customHeight="1">
      <c r="B24" s="98">
        <v>21</v>
      </c>
      <c r="C24" s="94">
        <f t="shared" si="0"/>
        <v>1628</v>
      </c>
      <c r="D24" s="107">
        <f t="shared" si="1"/>
        <v>1.05</v>
      </c>
      <c r="E24" s="95">
        <f t="shared" si="2"/>
        <v>527.67786823323945</v>
      </c>
      <c r="F24" s="106">
        <f t="shared" si="3"/>
        <v>554.06176164490148</v>
      </c>
      <c r="I24" s="11">
        <v>544.72148903091716</v>
      </c>
      <c r="J24" s="142"/>
      <c r="K24" s="143">
        <f>'3 Vol'!C24</f>
        <v>859059.56948371383</v>
      </c>
    </row>
    <row r="25" spans="2:11" ht="20.25" customHeight="1">
      <c r="B25" s="98">
        <v>22</v>
      </c>
      <c r="C25" s="94">
        <f t="shared" si="0"/>
        <v>1628</v>
      </c>
      <c r="D25" s="107">
        <f t="shared" si="1"/>
        <v>1.05</v>
      </c>
      <c r="E25" s="95">
        <f t="shared" si="2"/>
        <v>528.19807823412964</v>
      </c>
      <c r="F25" s="106">
        <f t="shared" si="3"/>
        <v>554.6079821458361</v>
      </c>
      <c r="I25" s="11">
        <v>545.25850144578772</v>
      </c>
      <c r="J25" s="142"/>
      <c r="K25" s="143">
        <f>'3 Vol'!C25</f>
        <v>859906.47136516299</v>
      </c>
    </row>
    <row r="26" spans="2:11" ht="20.25" customHeight="1">
      <c r="B26" s="98">
        <v>23</v>
      </c>
      <c r="C26" s="94">
        <f t="shared" si="0"/>
        <v>1628</v>
      </c>
      <c r="D26" s="107">
        <f t="shared" si="1"/>
        <v>1.05</v>
      </c>
      <c r="E26" s="95">
        <f t="shared" si="2"/>
        <v>528.71828823501971</v>
      </c>
      <c r="F26" s="106">
        <f t="shared" si="3"/>
        <v>555.15420264677073</v>
      </c>
      <c r="I26" s="11">
        <v>545.79551386065828</v>
      </c>
      <c r="J26" s="142"/>
      <c r="K26" s="143">
        <f>'3 Vol'!C26</f>
        <v>860753.37324661214</v>
      </c>
    </row>
    <row r="27" spans="2:11" s="3" customFormat="1" ht="20.25" customHeight="1">
      <c r="B27" s="98">
        <v>24</v>
      </c>
      <c r="C27" s="94">
        <f t="shared" si="0"/>
        <v>1628</v>
      </c>
      <c r="D27" s="107">
        <f t="shared" si="1"/>
        <v>1.05</v>
      </c>
      <c r="E27" s="95">
        <f t="shared" si="2"/>
        <v>529.23849823591001</v>
      </c>
      <c r="F27" s="106">
        <f t="shared" si="3"/>
        <v>555.70042314770558</v>
      </c>
      <c r="I27" s="140">
        <v>546.33252627552861</v>
      </c>
      <c r="J27" s="141"/>
      <c r="K27" s="143">
        <f>'3 Vol'!C27</f>
        <v>861600.27512806142</v>
      </c>
    </row>
    <row r="28" spans="2:11" s="3" customFormat="1" ht="20.25" customHeight="1">
      <c r="B28" s="98">
        <v>25</v>
      </c>
      <c r="C28" s="94">
        <f t="shared" si="0"/>
        <v>1628</v>
      </c>
      <c r="D28" s="107">
        <f t="shared" si="1"/>
        <v>1.05</v>
      </c>
      <c r="E28" s="95">
        <f t="shared" si="2"/>
        <v>529.75870823680009</v>
      </c>
      <c r="F28" s="106">
        <f t="shared" si="3"/>
        <v>556.24664364864009</v>
      </c>
      <c r="I28" s="140">
        <v>546.86953869039917</v>
      </c>
      <c r="J28" s="141"/>
      <c r="K28" s="143">
        <f>'3 Vol'!C28</f>
        <v>862447.17700951046</v>
      </c>
    </row>
    <row r="29" spans="2:11" ht="20.25" customHeight="1">
      <c r="B29" s="98">
        <v>26</v>
      </c>
      <c r="C29" s="94">
        <f t="shared" si="0"/>
        <v>1628</v>
      </c>
      <c r="D29" s="107">
        <f t="shared" si="1"/>
        <v>1.05</v>
      </c>
      <c r="E29" s="95">
        <f t="shared" si="2"/>
        <v>530.50782639240674</v>
      </c>
      <c r="F29" s="106">
        <f t="shared" si="3"/>
        <v>557.03321771202707</v>
      </c>
      <c r="I29" s="11">
        <v>547.64285283099116</v>
      </c>
      <c r="J29" s="142"/>
      <c r="K29" s="143">
        <f>'3 Vol'!C29</f>
        <v>863666.74136683822</v>
      </c>
    </row>
    <row r="30" spans="2:11" s="3" customFormat="1" ht="20.25" customHeight="1">
      <c r="B30" s="98">
        <v>27</v>
      </c>
      <c r="C30" s="94">
        <f t="shared" si="0"/>
        <v>1628</v>
      </c>
      <c r="D30" s="107">
        <f t="shared" si="1"/>
        <v>1.05</v>
      </c>
      <c r="E30" s="95">
        <f t="shared" si="2"/>
        <v>531.05334177789109</v>
      </c>
      <c r="F30" s="106">
        <f t="shared" si="3"/>
        <v>557.60600886678571</v>
      </c>
      <c r="I30" s="140">
        <v>548.20598797642594</v>
      </c>
      <c r="J30" s="141"/>
      <c r="K30" s="143">
        <f>'3 Vol'!C30</f>
        <v>864554.84041440662</v>
      </c>
    </row>
    <row r="31" spans="2:11" s="3" customFormat="1" ht="20.25" customHeight="1">
      <c r="B31" s="98">
        <v>28</v>
      </c>
      <c r="C31" s="94">
        <f t="shared" si="0"/>
        <v>1628</v>
      </c>
      <c r="D31" s="107">
        <f t="shared" si="1"/>
        <v>1.05</v>
      </c>
      <c r="E31" s="95">
        <f t="shared" si="2"/>
        <v>531.61179977901475</v>
      </c>
      <c r="F31" s="106">
        <f t="shared" si="3"/>
        <v>558.19238976796555</v>
      </c>
      <c r="I31" s="140">
        <v>548.78248377480361</v>
      </c>
      <c r="J31" s="141"/>
      <c r="K31" s="143">
        <f>'3 Vol'!C31</f>
        <v>865464.01004023605</v>
      </c>
    </row>
    <row r="32" spans="2:11" s="3" customFormat="1" ht="20.25" customHeight="1">
      <c r="B32" s="98">
        <v>29</v>
      </c>
      <c r="C32" s="94">
        <f t="shared" si="0"/>
        <v>1628</v>
      </c>
      <c r="D32" s="107">
        <f t="shared" si="1"/>
        <v>1.05</v>
      </c>
      <c r="E32" s="95">
        <f t="shared" si="2"/>
        <v>532.19556316473268</v>
      </c>
      <c r="F32" s="106">
        <f t="shared" si="3"/>
        <v>558.8053413229693</v>
      </c>
      <c r="I32" s="140">
        <v>549.3851023037455</v>
      </c>
      <c r="J32" s="141"/>
      <c r="K32" s="143">
        <f>'3 Vol'!C32</f>
        <v>866414.37683218473</v>
      </c>
    </row>
    <row r="33" spans="2:12" s="3" customFormat="1" ht="20.25" customHeight="1" thickBot="1">
      <c r="B33" s="100">
        <v>30</v>
      </c>
      <c r="C33" s="377">
        <f t="shared" si="0"/>
        <v>1628</v>
      </c>
      <c r="D33" s="369">
        <f t="shared" si="1"/>
        <v>1.05</v>
      </c>
      <c r="E33" s="370">
        <f t="shared" si="2"/>
        <v>532.51275024218546</v>
      </c>
      <c r="F33" s="371">
        <f t="shared" si="3"/>
        <v>559.13838775429474</v>
      </c>
      <c r="I33" s="140">
        <v>549.71253429878061</v>
      </c>
      <c r="J33" s="141"/>
      <c r="K33" s="143">
        <f>'3 Vol'!C33</f>
        <v>866930.75739427784</v>
      </c>
    </row>
    <row r="35" spans="2:12">
      <c r="F35" s="9">
        <f>SUM(F4:F34)</f>
        <v>17085.865482035031</v>
      </c>
    </row>
    <row r="40" spans="2:12" ht="13.5" thickBot="1">
      <c r="B40" s="5" t="s">
        <v>91</v>
      </c>
      <c r="F40" s="7"/>
    </row>
    <row r="41" spans="2:12" ht="26.25" thickBot="1">
      <c r="B41" s="38" t="s">
        <v>1</v>
      </c>
      <c r="C41" s="37" t="s">
        <v>17</v>
      </c>
      <c r="D41" s="24" t="s">
        <v>5</v>
      </c>
      <c r="E41" s="24" t="s">
        <v>6</v>
      </c>
      <c r="F41" s="24" t="s">
        <v>7</v>
      </c>
      <c r="I41" s="24" t="s">
        <v>92</v>
      </c>
    </row>
    <row r="42" spans="2:12">
      <c r="B42" s="31">
        <v>1</v>
      </c>
      <c r="C42" s="145">
        <f>K42/E42</f>
        <v>1555.5252625435887</v>
      </c>
      <c r="D42" s="28">
        <v>1.05</v>
      </c>
      <c r="E42" s="29">
        <f>F42/D42</f>
        <v>741.421218721272</v>
      </c>
      <c r="F42" s="30">
        <f>I42</f>
        <v>778.49227965733564</v>
      </c>
      <c r="G42" s="3"/>
      <c r="H42" s="3"/>
      <c r="I42" s="140">
        <v>778.49227965733564</v>
      </c>
      <c r="J42" s="141"/>
      <c r="K42" s="143">
        <v>1153299.4359067942</v>
      </c>
      <c r="L42" s="3"/>
    </row>
    <row r="43" spans="2:12">
      <c r="B43" s="25">
        <v>2</v>
      </c>
      <c r="C43" s="145">
        <f t="shared" ref="C43:C71" si="4">K43/E43</f>
        <v>1552.4204217001879</v>
      </c>
      <c r="D43" s="18">
        <f>D42</f>
        <v>1.05</v>
      </c>
      <c r="E43" s="29">
        <f t="shared" ref="E43:E71" si="5">F43/D43</f>
        <v>700.80630399502786</v>
      </c>
      <c r="F43" s="30">
        <f t="shared" ref="F43:F71" si="6">I43</f>
        <v>735.84661919477924</v>
      </c>
      <c r="I43" s="11">
        <v>735.84661919477924</v>
      </c>
      <c r="J43" s="142"/>
      <c r="K43" s="143">
        <v>1087946.0179781113</v>
      </c>
    </row>
    <row r="44" spans="2:12">
      <c r="B44" s="25">
        <v>3</v>
      </c>
      <c r="C44" s="145">
        <f t="shared" si="4"/>
        <v>1552.4204217001886</v>
      </c>
      <c r="D44" s="18">
        <f t="shared" ref="D44:D71" si="7">D43</f>
        <v>1.05</v>
      </c>
      <c r="E44" s="29">
        <f t="shared" si="5"/>
        <v>642.40166278051584</v>
      </c>
      <c r="F44" s="30">
        <f t="shared" si="6"/>
        <v>674.52174591954167</v>
      </c>
      <c r="I44" s="11">
        <v>674.52174591954167</v>
      </c>
      <c r="J44" s="142"/>
      <c r="K44" s="143">
        <v>997277.46023463074</v>
      </c>
    </row>
    <row r="45" spans="2:12">
      <c r="B45" s="25">
        <v>4</v>
      </c>
      <c r="C45" s="145">
        <f t="shared" si="4"/>
        <v>1552.4204217001877</v>
      </c>
      <c r="D45" s="18">
        <f t="shared" si="7"/>
        <v>1.05</v>
      </c>
      <c r="E45" s="29">
        <f t="shared" si="5"/>
        <v>603.82851046317512</v>
      </c>
      <c r="F45" s="30">
        <f t="shared" si="6"/>
        <v>634.01993598633385</v>
      </c>
      <c r="I45" s="11">
        <v>634.01993598633385</v>
      </c>
      <c r="J45" s="142"/>
      <c r="K45" s="143">
        <v>937395.71084783855</v>
      </c>
    </row>
    <row r="46" spans="2:12">
      <c r="B46" s="25">
        <v>5</v>
      </c>
      <c r="C46" s="144">
        <f t="shared" si="4"/>
        <v>1552.4204217001879</v>
      </c>
      <c r="D46" s="18">
        <f t="shared" si="7"/>
        <v>1.05</v>
      </c>
      <c r="E46" s="29">
        <f t="shared" si="5"/>
        <v>570.71386059157112</v>
      </c>
      <c r="F46" s="30">
        <f t="shared" si="6"/>
        <v>599.24955362114974</v>
      </c>
      <c r="G46" s="3"/>
      <c r="H46" s="3"/>
      <c r="I46" s="140">
        <v>599.24955362114974</v>
      </c>
      <c r="J46" s="141"/>
      <c r="K46" s="143">
        <v>885987.85212970909</v>
      </c>
      <c r="L46" s="3"/>
    </row>
    <row r="47" spans="2:12">
      <c r="B47" s="25">
        <v>6</v>
      </c>
      <c r="C47" s="144">
        <f t="shared" si="4"/>
        <v>1552.4204217001879</v>
      </c>
      <c r="D47" s="18">
        <f t="shared" si="7"/>
        <v>1.05</v>
      </c>
      <c r="E47" s="29">
        <f t="shared" si="5"/>
        <v>564.65520526566752</v>
      </c>
      <c r="F47" s="30">
        <f t="shared" si="6"/>
        <v>592.88796552895087</v>
      </c>
      <c r="I47" s="11">
        <v>592.88796552895087</v>
      </c>
      <c r="J47" s="142"/>
      <c r="K47" s="143">
        <v>876582.27187373373</v>
      </c>
    </row>
    <row r="48" spans="2:12">
      <c r="B48" s="25">
        <v>7</v>
      </c>
      <c r="C48" s="144">
        <f t="shared" si="4"/>
        <v>1552.4204217001879</v>
      </c>
      <c r="D48" s="18">
        <f t="shared" si="7"/>
        <v>1.05</v>
      </c>
      <c r="E48" s="29">
        <f t="shared" si="5"/>
        <v>550.23049464590281</v>
      </c>
      <c r="F48" s="30">
        <f t="shared" si="6"/>
        <v>577.74201937819794</v>
      </c>
      <c r="I48" s="11">
        <v>577.74201937819794</v>
      </c>
      <c r="J48" s="142"/>
      <c r="K48" s="143">
        <v>854189.05653049541</v>
      </c>
    </row>
    <row r="49" spans="2:12">
      <c r="B49" s="25">
        <v>8</v>
      </c>
      <c r="C49" s="144">
        <f t="shared" si="4"/>
        <v>1573.119360656191</v>
      </c>
      <c r="D49" s="18">
        <f t="shared" si="7"/>
        <v>1.05</v>
      </c>
      <c r="E49" s="29">
        <f t="shared" si="5"/>
        <v>536.56497932191496</v>
      </c>
      <c r="F49" s="30">
        <f t="shared" si="6"/>
        <v>563.39322828801073</v>
      </c>
      <c r="I49" s="11">
        <v>563.39322828801073</v>
      </c>
      <c r="J49" s="142"/>
      <c r="K49" s="143">
        <v>844080.75722139317</v>
      </c>
    </row>
    <row r="50" spans="2:12">
      <c r="B50" s="25">
        <v>9</v>
      </c>
      <c r="C50" s="144">
        <f t="shared" si="4"/>
        <v>1614.5172385681956</v>
      </c>
      <c r="D50" s="18">
        <f t="shared" si="7"/>
        <v>1.05</v>
      </c>
      <c r="E50" s="29">
        <f t="shared" si="5"/>
        <v>523.60025965556792</v>
      </c>
      <c r="F50" s="30">
        <f t="shared" si="6"/>
        <v>549.78027263834633</v>
      </c>
      <c r="G50" s="3"/>
      <c r="H50" s="3"/>
      <c r="I50" s="140">
        <v>549.78027263834633</v>
      </c>
      <c r="J50" s="141"/>
      <c r="K50" s="143">
        <v>845361.64533269766</v>
      </c>
      <c r="L50" s="3"/>
    </row>
    <row r="51" spans="2:12">
      <c r="B51" s="25">
        <v>10</v>
      </c>
      <c r="C51" s="144">
        <f t="shared" si="4"/>
        <v>1655.9151164802004</v>
      </c>
      <c r="D51" s="18">
        <f t="shared" si="7"/>
        <v>1.05</v>
      </c>
      <c r="E51" s="29">
        <f t="shared" si="5"/>
        <v>511.32137919492584</v>
      </c>
      <c r="F51" s="30">
        <f t="shared" si="6"/>
        <v>536.88744815467214</v>
      </c>
      <c r="G51" s="3"/>
      <c r="H51" s="3"/>
      <c r="I51" s="140">
        <v>536.88744815467214</v>
      </c>
      <c r="J51" s="141"/>
      <c r="K51" s="143">
        <v>846704.80118838232</v>
      </c>
      <c r="L51" s="3"/>
    </row>
    <row r="52" spans="2:12">
      <c r="B52" s="25">
        <v>11</v>
      </c>
      <c r="C52" s="144">
        <f t="shared" si="4"/>
        <v>1655.915116480201</v>
      </c>
      <c r="D52" s="18">
        <f t="shared" si="7"/>
        <v>1.05</v>
      </c>
      <c r="E52" s="29">
        <f t="shared" si="5"/>
        <v>512.11978079429855</v>
      </c>
      <c r="F52" s="30">
        <f t="shared" si="6"/>
        <v>537.72576983401348</v>
      </c>
      <c r="I52" s="11">
        <v>537.72576983401348</v>
      </c>
      <c r="J52" s="142"/>
      <c r="K52" s="143">
        <v>848026.88646580593</v>
      </c>
    </row>
    <row r="53" spans="2:12">
      <c r="B53" s="25">
        <v>12</v>
      </c>
      <c r="C53" s="144">
        <f t="shared" si="4"/>
        <v>1655.915116480201</v>
      </c>
      <c r="D53" s="18">
        <f t="shared" si="7"/>
        <v>1.05</v>
      </c>
      <c r="E53" s="29">
        <f t="shared" si="5"/>
        <v>512.85570038027004</v>
      </c>
      <c r="F53" s="30">
        <f t="shared" si="6"/>
        <v>538.4984853992836</v>
      </c>
      <c r="I53" s="11">
        <v>538.4984853992836</v>
      </c>
      <c r="J53" s="142"/>
      <c r="K53" s="143">
        <v>849245.50683272991</v>
      </c>
    </row>
    <row r="54" spans="2:12">
      <c r="B54" s="25">
        <v>13</v>
      </c>
      <c r="C54" s="144">
        <f t="shared" si="4"/>
        <v>1655.9151164802001</v>
      </c>
      <c r="D54" s="18">
        <f t="shared" si="7"/>
        <v>1.05</v>
      </c>
      <c r="E54" s="29">
        <f t="shared" si="5"/>
        <v>513.59161996624164</v>
      </c>
      <c r="F54" s="30">
        <f t="shared" si="6"/>
        <v>539.27120096455371</v>
      </c>
      <c r="I54" s="11">
        <v>539.27120096455371</v>
      </c>
      <c r="J54" s="142"/>
      <c r="K54" s="143">
        <v>850464.12719965365</v>
      </c>
    </row>
    <row r="55" spans="2:12">
      <c r="B55" s="25">
        <v>14</v>
      </c>
      <c r="C55" s="144">
        <f t="shared" si="4"/>
        <v>1655.9151164802008</v>
      </c>
      <c r="D55" s="18">
        <f t="shared" si="7"/>
        <v>1.05</v>
      </c>
      <c r="E55" s="29">
        <f t="shared" si="5"/>
        <v>514.32753955221301</v>
      </c>
      <c r="F55" s="30">
        <f t="shared" si="6"/>
        <v>540.04391652982372</v>
      </c>
      <c r="I55" s="11">
        <v>540.04391652982372</v>
      </c>
      <c r="J55" s="142"/>
      <c r="K55" s="143">
        <v>851682.74756657786</v>
      </c>
    </row>
    <row r="56" spans="2:12">
      <c r="B56" s="25">
        <v>15</v>
      </c>
      <c r="C56" s="144">
        <f t="shared" si="4"/>
        <v>1655.9151164802004</v>
      </c>
      <c r="D56" s="18">
        <f t="shared" si="7"/>
        <v>1.05</v>
      </c>
      <c r="E56" s="29">
        <f t="shared" si="5"/>
        <v>515.06345913818461</v>
      </c>
      <c r="F56" s="30">
        <f t="shared" si="6"/>
        <v>540.81663209509384</v>
      </c>
      <c r="I56" s="11">
        <v>540.81663209509384</v>
      </c>
      <c r="J56" s="142"/>
      <c r="K56" s="143">
        <v>852901.36793350184</v>
      </c>
    </row>
    <row r="57" spans="2:12">
      <c r="B57" s="25">
        <v>16</v>
      </c>
      <c r="C57" s="144">
        <f t="shared" si="4"/>
        <v>1655.9151164802008</v>
      </c>
      <c r="D57" s="18">
        <f t="shared" si="7"/>
        <v>1.05</v>
      </c>
      <c r="E57" s="29">
        <f t="shared" si="5"/>
        <v>515.65067604981016</v>
      </c>
      <c r="F57" s="30">
        <f t="shared" si="6"/>
        <v>541.43320985230071</v>
      </c>
      <c r="I57" s="11">
        <v>541.43320985230071</v>
      </c>
      <c r="J57" s="142"/>
      <c r="K57" s="143">
        <v>853873.7492941157</v>
      </c>
    </row>
    <row r="58" spans="2:12">
      <c r="B58" s="25">
        <v>17</v>
      </c>
      <c r="C58" s="144">
        <f t="shared" si="4"/>
        <v>1655.9151164802006</v>
      </c>
      <c r="D58" s="18">
        <f t="shared" si="7"/>
        <v>1.05</v>
      </c>
      <c r="E58" s="29">
        <f t="shared" si="5"/>
        <v>516.24947724933986</v>
      </c>
      <c r="F58" s="30">
        <f t="shared" si="6"/>
        <v>542.06195111180693</v>
      </c>
      <c r="I58" s="11">
        <v>542.06195111180693</v>
      </c>
      <c r="J58" s="142"/>
      <c r="K58" s="143">
        <v>854865.31325218326</v>
      </c>
    </row>
    <row r="59" spans="2:12">
      <c r="B59" s="25">
        <v>18</v>
      </c>
      <c r="C59" s="144">
        <f t="shared" si="4"/>
        <v>1655.9151164802006</v>
      </c>
      <c r="D59" s="18">
        <f t="shared" si="7"/>
        <v>1.05</v>
      </c>
      <c r="E59" s="29">
        <f t="shared" si="5"/>
        <v>516.84827844886956</v>
      </c>
      <c r="F59" s="30">
        <f t="shared" si="6"/>
        <v>542.69069237131305</v>
      </c>
      <c r="I59" s="11">
        <v>542.69069237131305</v>
      </c>
      <c r="J59" s="142"/>
      <c r="K59" s="143">
        <v>855856.87721025094</v>
      </c>
    </row>
    <row r="60" spans="2:12">
      <c r="B60" s="25">
        <v>19</v>
      </c>
      <c r="C60" s="144">
        <f t="shared" si="4"/>
        <v>1655.915116480201</v>
      </c>
      <c r="D60" s="18">
        <f t="shared" si="7"/>
        <v>1.05</v>
      </c>
      <c r="E60" s="29">
        <f t="shared" si="5"/>
        <v>517.44707964839893</v>
      </c>
      <c r="F60" s="30">
        <f t="shared" si="6"/>
        <v>543.31943363081893</v>
      </c>
      <c r="I60" s="11">
        <v>543.31943363081893</v>
      </c>
      <c r="J60" s="142"/>
      <c r="K60" s="143">
        <v>856848.44116831839</v>
      </c>
    </row>
    <row r="61" spans="2:12">
      <c r="B61" s="25">
        <v>20</v>
      </c>
      <c r="C61" s="144">
        <f t="shared" si="4"/>
        <v>1655.9151164802008</v>
      </c>
      <c r="D61" s="18">
        <f t="shared" si="7"/>
        <v>1.05</v>
      </c>
      <c r="E61" s="29">
        <f t="shared" si="5"/>
        <v>518.04588084792863</v>
      </c>
      <c r="F61" s="30">
        <f t="shared" si="6"/>
        <v>543.94817489032505</v>
      </c>
      <c r="I61" s="11">
        <v>543.94817489032505</v>
      </c>
      <c r="J61" s="142"/>
      <c r="K61" s="143">
        <v>857840.00512638595</v>
      </c>
    </row>
    <row r="62" spans="2:12">
      <c r="B62" s="25">
        <v>21</v>
      </c>
      <c r="C62" s="144">
        <f t="shared" si="4"/>
        <v>1655.9151164802006</v>
      </c>
      <c r="D62" s="18">
        <f t="shared" si="7"/>
        <v>1.05</v>
      </c>
      <c r="E62" s="29">
        <f t="shared" si="5"/>
        <v>518.78237050563541</v>
      </c>
      <c r="F62" s="30">
        <f t="shared" si="6"/>
        <v>544.72148903091716</v>
      </c>
      <c r="I62" s="11">
        <v>544.72148903091716</v>
      </c>
      <c r="J62" s="142"/>
      <c r="K62" s="143">
        <v>859059.56948371383</v>
      </c>
    </row>
    <row r="63" spans="2:12">
      <c r="B63" s="25">
        <v>22</v>
      </c>
      <c r="C63" s="144">
        <f t="shared" si="4"/>
        <v>1655.9151164802006</v>
      </c>
      <c r="D63" s="18">
        <f t="shared" si="7"/>
        <v>1.05</v>
      </c>
      <c r="E63" s="29">
        <f t="shared" si="5"/>
        <v>519.29381090075015</v>
      </c>
      <c r="F63" s="30">
        <f t="shared" si="6"/>
        <v>545.25850144578772</v>
      </c>
      <c r="I63" s="11">
        <v>545.25850144578772</v>
      </c>
      <c r="J63" s="142"/>
      <c r="K63" s="143">
        <v>859906.47136516299</v>
      </c>
    </row>
    <row r="64" spans="2:12">
      <c r="B64" s="25">
        <v>23</v>
      </c>
      <c r="C64" s="144">
        <f t="shared" si="4"/>
        <v>1655.9151164802004</v>
      </c>
      <c r="D64" s="18">
        <f t="shared" si="7"/>
        <v>1.05</v>
      </c>
      <c r="E64" s="29">
        <f t="shared" si="5"/>
        <v>519.80525129586499</v>
      </c>
      <c r="F64" s="30">
        <f t="shared" si="6"/>
        <v>545.79551386065828</v>
      </c>
      <c r="I64" s="11">
        <v>545.79551386065828</v>
      </c>
      <c r="J64" s="142"/>
      <c r="K64" s="143">
        <v>860753.37324661214</v>
      </c>
    </row>
    <row r="65" spans="2:12">
      <c r="B65" s="25">
        <v>24</v>
      </c>
      <c r="C65" s="144">
        <f t="shared" si="4"/>
        <v>1655.915116480201</v>
      </c>
      <c r="D65" s="18">
        <f t="shared" si="7"/>
        <v>1.05</v>
      </c>
      <c r="E65" s="29">
        <f t="shared" si="5"/>
        <v>520.31669169097961</v>
      </c>
      <c r="F65" s="30">
        <f t="shared" si="6"/>
        <v>546.33252627552861</v>
      </c>
      <c r="G65" s="3"/>
      <c r="H65" s="3"/>
      <c r="I65" s="140">
        <v>546.33252627552861</v>
      </c>
      <c r="J65" s="141"/>
      <c r="K65" s="143">
        <v>861600.27512806142</v>
      </c>
      <c r="L65" s="3"/>
    </row>
    <row r="66" spans="2:12">
      <c r="B66" s="25">
        <v>25</v>
      </c>
      <c r="C66" s="144">
        <f t="shared" si="4"/>
        <v>1655.9151164802006</v>
      </c>
      <c r="D66" s="18">
        <f t="shared" si="7"/>
        <v>1.05</v>
      </c>
      <c r="E66" s="29">
        <f t="shared" si="5"/>
        <v>520.82813208609446</v>
      </c>
      <c r="F66" s="30">
        <f t="shared" si="6"/>
        <v>546.86953869039917</v>
      </c>
      <c r="G66" s="3"/>
      <c r="H66" s="3"/>
      <c r="I66" s="140">
        <v>546.86953869039917</v>
      </c>
      <c r="J66" s="141"/>
      <c r="K66" s="143">
        <v>862447.17700951046</v>
      </c>
      <c r="L66" s="3"/>
    </row>
    <row r="67" spans="2:12">
      <c r="B67" s="25">
        <v>26</v>
      </c>
      <c r="C67" s="144">
        <f t="shared" si="4"/>
        <v>1655.9151164802006</v>
      </c>
      <c r="D67" s="18">
        <f t="shared" si="7"/>
        <v>1.05</v>
      </c>
      <c r="E67" s="29">
        <f t="shared" si="5"/>
        <v>521.56462174380113</v>
      </c>
      <c r="F67" s="30">
        <f t="shared" si="6"/>
        <v>547.64285283099116</v>
      </c>
      <c r="I67" s="11">
        <v>547.64285283099116</v>
      </c>
      <c r="J67" s="142"/>
      <c r="K67" s="143">
        <v>863666.74136683822</v>
      </c>
    </row>
    <row r="68" spans="2:12">
      <c r="B68" s="25">
        <v>27</v>
      </c>
      <c r="C68" s="144">
        <f t="shared" si="4"/>
        <v>1655.9151164802008</v>
      </c>
      <c r="D68" s="18">
        <f t="shared" si="7"/>
        <v>1.05</v>
      </c>
      <c r="E68" s="29">
        <f t="shared" si="5"/>
        <v>522.10094092992949</v>
      </c>
      <c r="F68" s="30">
        <f t="shared" si="6"/>
        <v>548.20598797642594</v>
      </c>
      <c r="G68" s="3"/>
      <c r="H68" s="3"/>
      <c r="I68" s="140">
        <v>548.20598797642594</v>
      </c>
      <c r="J68" s="141"/>
      <c r="K68" s="143">
        <v>864554.84041440662</v>
      </c>
      <c r="L68" s="3"/>
    </row>
    <row r="69" spans="2:12">
      <c r="B69" s="25">
        <v>28</v>
      </c>
      <c r="C69" s="144">
        <f t="shared" si="4"/>
        <v>1655.9151164802008</v>
      </c>
      <c r="D69" s="18">
        <f t="shared" si="7"/>
        <v>1.05</v>
      </c>
      <c r="E69" s="29">
        <f t="shared" si="5"/>
        <v>522.64998454743204</v>
      </c>
      <c r="F69" s="30">
        <f t="shared" si="6"/>
        <v>548.78248377480361</v>
      </c>
      <c r="G69" s="3"/>
      <c r="H69" s="3"/>
      <c r="I69" s="140">
        <v>548.78248377480361</v>
      </c>
      <c r="J69" s="141"/>
      <c r="K69" s="143">
        <v>865464.01004023605</v>
      </c>
      <c r="L69" s="3"/>
    </row>
    <row r="70" spans="2:12">
      <c r="B70" s="25">
        <v>29</v>
      </c>
      <c r="C70" s="144">
        <f t="shared" si="4"/>
        <v>1655.915116480201</v>
      </c>
      <c r="D70" s="18">
        <f t="shared" si="7"/>
        <v>1.05</v>
      </c>
      <c r="E70" s="29">
        <f t="shared" si="5"/>
        <v>523.22390695594811</v>
      </c>
      <c r="F70" s="30">
        <f t="shared" si="6"/>
        <v>549.3851023037455</v>
      </c>
      <c r="G70" s="3"/>
      <c r="H70" s="3"/>
      <c r="I70" s="140">
        <v>549.3851023037455</v>
      </c>
      <c r="J70" s="141"/>
      <c r="K70" s="143">
        <v>866414.37683218473</v>
      </c>
      <c r="L70" s="3"/>
    </row>
    <row r="71" spans="2:12" ht="13.5" thickBot="1">
      <c r="B71" s="26">
        <v>30</v>
      </c>
      <c r="C71" s="144">
        <f t="shared" si="4"/>
        <v>1655.915116480201</v>
      </c>
      <c r="D71" s="18">
        <f t="shared" si="7"/>
        <v>1.05</v>
      </c>
      <c r="E71" s="29">
        <f t="shared" si="5"/>
        <v>523.53574695121961</v>
      </c>
      <c r="F71" s="30">
        <f t="shared" si="6"/>
        <v>549.71253429878061</v>
      </c>
      <c r="G71" s="3"/>
      <c r="H71" s="3"/>
      <c r="I71" s="140">
        <v>549.71253429878061</v>
      </c>
      <c r="J71" s="141"/>
      <c r="K71" s="143">
        <v>866930.75739427784</v>
      </c>
      <c r="L71" s="3"/>
    </row>
    <row r="73" spans="2:12">
      <c r="C73" s="14">
        <f>AVERAGE(C42:C71)</f>
        <v>1627.7300612684448</v>
      </c>
      <c r="F73" s="9">
        <f>SUM(F42:F72)</f>
        <v>17125.337065534688</v>
      </c>
    </row>
  </sheetData>
  <mergeCells count="1">
    <mergeCell ref="B1:F1"/>
  </mergeCells>
  <printOptions horizontalCentered="1"/>
  <pageMargins left="0.98425196850393704" right="0.59055118110236227" top="1.9685039370078741" bottom="1.0629921259842521" header="0.39370078740157483" footer="0.39370078740157483"/>
  <pageSetup paperSize="9" scale="82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46">
    <tabColor rgb="FF7030A0"/>
    <pageSetUpPr fitToPage="1"/>
  </sheetPr>
  <dimension ref="A1:AK103"/>
  <sheetViews>
    <sheetView showGridLines="0" tabSelected="1" workbookViewId="0">
      <selection activeCell="T18" sqref="T18"/>
    </sheetView>
  </sheetViews>
  <sheetFormatPr defaultColWidth="11.5703125" defaultRowHeight="12.75"/>
  <cols>
    <col min="1" max="1" width="6.5703125" style="157" bestFit="1" customWidth="1"/>
    <col min="2" max="2" width="5.85546875" style="157" bestFit="1" customWidth="1"/>
    <col min="3" max="3" width="10" style="157" customWidth="1"/>
    <col min="4" max="9" width="17" style="157" customWidth="1"/>
    <col min="10" max="10" width="2.7109375" style="157" customWidth="1"/>
    <col min="11" max="14" width="11.5703125" style="157" customWidth="1"/>
    <col min="15" max="25" width="14.7109375" style="157" customWidth="1"/>
    <col min="26" max="26" width="11.5703125" style="157" customWidth="1"/>
    <col min="27" max="27" width="15.28515625" style="157" customWidth="1"/>
    <col min="28" max="28" width="9.42578125" style="157" customWidth="1"/>
    <col min="29" max="29" width="15.28515625" style="157" customWidth="1"/>
    <col min="30" max="30" width="10.42578125" style="157" customWidth="1"/>
    <col min="31" max="31" width="17.85546875" style="157" customWidth="1"/>
    <col min="32" max="32" width="13.5703125" style="157" customWidth="1"/>
    <col min="33" max="33" width="17.85546875" style="157" customWidth="1"/>
    <col min="34" max="34" width="11.5703125" style="157" customWidth="1"/>
    <col min="35" max="36" width="11.5703125" style="157"/>
    <col min="37" max="37" width="13.5703125" style="157" bestFit="1" customWidth="1"/>
    <col min="38" max="265" width="11.5703125" style="157"/>
    <col min="266" max="266" width="10" style="157" customWidth="1"/>
    <col min="267" max="272" width="17" style="157" customWidth="1"/>
    <col min="273" max="521" width="11.5703125" style="157"/>
    <col min="522" max="522" width="10" style="157" customWidth="1"/>
    <col min="523" max="528" width="17" style="157" customWidth="1"/>
    <col min="529" max="777" width="11.5703125" style="157"/>
    <col min="778" max="778" width="10" style="157" customWidth="1"/>
    <col min="779" max="784" width="17" style="157" customWidth="1"/>
    <col min="785" max="1033" width="11.5703125" style="157"/>
    <col min="1034" max="1034" width="10" style="157" customWidth="1"/>
    <col min="1035" max="1040" width="17" style="157" customWidth="1"/>
    <col min="1041" max="1289" width="11.5703125" style="157"/>
    <col min="1290" max="1290" width="10" style="157" customWidth="1"/>
    <col min="1291" max="1296" width="17" style="157" customWidth="1"/>
    <col min="1297" max="1545" width="11.5703125" style="157"/>
    <col min="1546" max="1546" width="10" style="157" customWidth="1"/>
    <col min="1547" max="1552" width="17" style="157" customWidth="1"/>
    <col min="1553" max="1801" width="11.5703125" style="157"/>
    <col min="1802" max="1802" width="10" style="157" customWidth="1"/>
    <col min="1803" max="1808" width="17" style="157" customWidth="1"/>
    <col min="1809" max="2057" width="11.5703125" style="157"/>
    <col min="2058" max="2058" width="10" style="157" customWidth="1"/>
    <col min="2059" max="2064" width="17" style="157" customWidth="1"/>
    <col min="2065" max="2313" width="11.5703125" style="157"/>
    <col min="2314" max="2314" width="10" style="157" customWidth="1"/>
    <col min="2315" max="2320" width="17" style="157" customWidth="1"/>
    <col min="2321" max="2569" width="11.5703125" style="157"/>
    <col min="2570" max="2570" width="10" style="157" customWidth="1"/>
    <col min="2571" max="2576" width="17" style="157" customWidth="1"/>
    <col min="2577" max="2825" width="11.5703125" style="157"/>
    <col min="2826" max="2826" width="10" style="157" customWidth="1"/>
    <col min="2827" max="2832" width="17" style="157" customWidth="1"/>
    <col min="2833" max="3081" width="11.5703125" style="157"/>
    <col min="3082" max="3082" width="10" style="157" customWidth="1"/>
    <col min="3083" max="3088" width="17" style="157" customWidth="1"/>
    <col min="3089" max="3337" width="11.5703125" style="157"/>
    <col min="3338" max="3338" width="10" style="157" customWidth="1"/>
    <col min="3339" max="3344" width="17" style="157" customWidth="1"/>
    <col min="3345" max="3593" width="11.5703125" style="157"/>
    <col min="3594" max="3594" width="10" style="157" customWidth="1"/>
    <col min="3595" max="3600" width="17" style="157" customWidth="1"/>
    <col min="3601" max="3849" width="11.5703125" style="157"/>
    <col min="3850" max="3850" width="10" style="157" customWidth="1"/>
    <col min="3851" max="3856" width="17" style="157" customWidth="1"/>
    <col min="3857" max="4105" width="11.5703125" style="157"/>
    <col min="4106" max="4106" width="10" style="157" customWidth="1"/>
    <col min="4107" max="4112" width="17" style="157" customWidth="1"/>
    <col min="4113" max="4361" width="11.5703125" style="157"/>
    <col min="4362" max="4362" width="10" style="157" customWidth="1"/>
    <col min="4363" max="4368" width="17" style="157" customWidth="1"/>
    <col min="4369" max="4617" width="11.5703125" style="157"/>
    <col min="4618" max="4618" width="10" style="157" customWidth="1"/>
    <col min="4619" max="4624" width="17" style="157" customWidth="1"/>
    <col min="4625" max="4873" width="11.5703125" style="157"/>
    <col min="4874" max="4874" width="10" style="157" customWidth="1"/>
    <col min="4875" max="4880" width="17" style="157" customWidth="1"/>
    <col min="4881" max="5129" width="11.5703125" style="157"/>
    <col min="5130" max="5130" width="10" style="157" customWidth="1"/>
    <col min="5131" max="5136" width="17" style="157" customWidth="1"/>
    <col min="5137" max="5385" width="11.5703125" style="157"/>
    <col min="5386" max="5386" width="10" style="157" customWidth="1"/>
    <col min="5387" max="5392" width="17" style="157" customWidth="1"/>
    <col min="5393" max="5641" width="11.5703125" style="157"/>
    <col min="5642" max="5642" width="10" style="157" customWidth="1"/>
    <col min="5643" max="5648" width="17" style="157" customWidth="1"/>
    <col min="5649" max="5897" width="11.5703125" style="157"/>
    <col min="5898" max="5898" width="10" style="157" customWidth="1"/>
    <col min="5899" max="5904" width="17" style="157" customWidth="1"/>
    <col min="5905" max="6153" width="11.5703125" style="157"/>
    <col min="6154" max="6154" width="10" style="157" customWidth="1"/>
    <col min="6155" max="6160" width="17" style="157" customWidth="1"/>
    <col min="6161" max="6409" width="11.5703125" style="157"/>
    <col min="6410" max="6410" width="10" style="157" customWidth="1"/>
    <col min="6411" max="6416" width="17" style="157" customWidth="1"/>
    <col min="6417" max="6665" width="11.5703125" style="157"/>
    <col min="6666" max="6666" width="10" style="157" customWidth="1"/>
    <col min="6667" max="6672" width="17" style="157" customWidth="1"/>
    <col min="6673" max="6921" width="11.5703125" style="157"/>
    <col min="6922" max="6922" width="10" style="157" customWidth="1"/>
    <col min="6923" max="6928" width="17" style="157" customWidth="1"/>
    <col min="6929" max="7177" width="11.5703125" style="157"/>
    <col min="7178" max="7178" width="10" style="157" customWidth="1"/>
    <col min="7179" max="7184" width="17" style="157" customWidth="1"/>
    <col min="7185" max="7433" width="11.5703125" style="157"/>
    <col min="7434" max="7434" width="10" style="157" customWidth="1"/>
    <col min="7435" max="7440" width="17" style="157" customWidth="1"/>
    <col min="7441" max="7689" width="11.5703125" style="157"/>
    <col min="7690" max="7690" width="10" style="157" customWidth="1"/>
    <col min="7691" max="7696" width="17" style="157" customWidth="1"/>
    <col min="7697" max="7945" width="11.5703125" style="157"/>
    <col min="7946" max="7946" width="10" style="157" customWidth="1"/>
    <col min="7947" max="7952" width="17" style="157" customWidth="1"/>
    <col min="7953" max="8201" width="11.5703125" style="157"/>
    <col min="8202" max="8202" width="10" style="157" customWidth="1"/>
    <col min="8203" max="8208" width="17" style="157" customWidth="1"/>
    <col min="8209" max="8457" width="11.5703125" style="157"/>
    <col min="8458" max="8458" width="10" style="157" customWidth="1"/>
    <col min="8459" max="8464" width="17" style="157" customWidth="1"/>
    <col min="8465" max="8713" width="11.5703125" style="157"/>
    <col min="8714" max="8714" width="10" style="157" customWidth="1"/>
    <col min="8715" max="8720" width="17" style="157" customWidth="1"/>
    <col min="8721" max="8969" width="11.5703125" style="157"/>
    <col min="8970" max="8970" width="10" style="157" customWidth="1"/>
    <col min="8971" max="8976" width="17" style="157" customWidth="1"/>
    <col min="8977" max="9225" width="11.5703125" style="157"/>
    <col min="9226" max="9226" width="10" style="157" customWidth="1"/>
    <col min="9227" max="9232" width="17" style="157" customWidth="1"/>
    <col min="9233" max="9481" width="11.5703125" style="157"/>
    <col min="9482" max="9482" width="10" style="157" customWidth="1"/>
    <col min="9483" max="9488" width="17" style="157" customWidth="1"/>
    <col min="9489" max="9737" width="11.5703125" style="157"/>
    <col min="9738" max="9738" width="10" style="157" customWidth="1"/>
    <col min="9739" max="9744" width="17" style="157" customWidth="1"/>
    <col min="9745" max="9993" width="11.5703125" style="157"/>
    <col min="9994" max="9994" width="10" style="157" customWidth="1"/>
    <col min="9995" max="10000" width="17" style="157" customWidth="1"/>
    <col min="10001" max="10249" width="11.5703125" style="157"/>
    <col min="10250" max="10250" width="10" style="157" customWidth="1"/>
    <col min="10251" max="10256" width="17" style="157" customWidth="1"/>
    <col min="10257" max="10505" width="11.5703125" style="157"/>
    <col min="10506" max="10506" width="10" style="157" customWidth="1"/>
    <col min="10507" max="10512" width="17" style="157" customWidth="1"/>
    <col min="10513" max="10761" width="11.5703125" style="157"/>
    <col min="10762" max="10762" width="10" style="157" customWidth="1"/>
    <col min="10763" max="10768" width="17" style="157" customWidth="1"/>
    <col min="10769" max="11017" width="11.5703125" style="157"/>
    <col min="11018" max="11018" width="10" style="157" customWidth="1"/>
    <col min="11019" max="11024" width="17" style="157" customWidth="1"/>
    <col min="11025" max="11273" width="11.5703125" style="157"/>
    <col min="11274" max="11274" width="10" style="157" customWidth="1"/>
    <col min="11275" max="11280" width="17" style="157" customWidth="1"/>
    <col min="11281" max="11529" width="11.5703125" style="157"/>
    <col min="11530" max="11530" width="10" style="157" customWidth="1"/>
    <col min="11531" max="11536" width="17" style="157" customWidth="1"/>
    <col min="11537" max="11785" width="11.5703125" style="157"/>
    <col min="11786" max="11786" width="10" style="157" customWidth="1"/>
    <col min="11787" max="11792" width="17" style="157" customWidth="1"/>
    <col min="11793" max="12041" width="11.5703125" style="157"/>
    <col min="12042" max="12042" width="10" style="157" customWidth="1"/>
    <col min="12043" max="12048" width="17" style="157" customWidth="1"/>
    <col min="12049" max="12297" width="11.5703125" style="157"/>
    <col min="12298" max="12298" width="10" style="157" customWidth="1"/>
    <col min="12299" max="12304" width="17" style="157" customWidth="1"/>
    <col min="12305" max="12553" width="11.5703125" style="157"/>
    <col min="12554" max="12554" width="10" style="157" customWidth="1"/>
    <col min="12555" max="12560" width="17" style="157" customWidth="1"/>
    <col min="12561" max="12809" width="11.5703125" style="157"/>
    <col min="12810" max="12810" width="10" style="157" customWidth="1"/>
    <col min="12811" max="12816" width="17" style="157" customWidth="1"/>
    <col min="12817" max="13065" width="11.5703125" style="157"/>
    <col min="13066" max="13066" width="10" style="157" customWidth="1"/>
    <col min="13067" max="13072" width="17" style="157" customWidth="1"/>
    <col min="13073" max="13321" width="11.5703125" style="157"/>
    <col min="13322" max="13322" width="10" style="157" customWidth="1"/>
    <col min="13323" max="13328" width="17" style="157" customWidth="1"/>
    <col min="13329" max="13577" width="11.5703125" style="157"/>
    <col min="13578" max="13578" width="10" style="157" customWidth="1"/>
    <col min="13579" max="13584" width="17" style="157" customWidth="1"/>
    <col min="13585" max="13833" width="11.5703125" style="157"/>
    <col min="13834" max="13834" width="10" style="157" customWidth="1"/>
    <col min="13835" max="13840" width="17" style="157" customWidth="1"/>
    <col min="13841" max="14089" width="11.5703125" style="157"/>
    <col min="14090" max="14090" width="10" style="157" customWidth="1"/>
    <col min="14091" max="14096" width="17" style="157" customWidth="1"/>
    <col min="14097" max="14345" width="11.5703125" style="157"/>
    <col min="14346" max="14346" width="10" style="157" customWidth="1"/>
    <col min="14347" max="14352" width="17" style="157" customWidth="1"/>
    <col min="14353" max="14601" width="11.5703125" style="157"/>
    <col min="14602" max="14602" width="10" style="157" customWidth="1"/>
    <col min="14603" max="14608" width="17" style="157" customWidth="1"/>
    <col min="14609" max="14857" width="11.5703125" style="157"/>
    <col min="14858" max="14858" width="10" style="157" customWidth="1"/>
    <col min="14859" max="14864" width="17" style="157" customWidth="1"/>
    <col min="14865" max="15113" width="11.5703125" style="157"/>
    <col min="15114" max="15114" width="10" style="157" customWidth="1"/>
    <col min="15115" max="15120" width="17" style="157" customWidth="1"/>
    <col min="15121" max="15369" width="11.5703125" style="157"/>
    <col min="15370" max="15370" width="10" style="157" customWidth="1"/>
    <col min="15371" max="15376" width="17" style="157" customWidth="1"/>
    <col min="15377" max="15625" width="11.5703125" style="157"/>
    <col min="15626" max="15626" width="10" style="157" customWidth="1"/>
    <col min="15627" max="15632" width="17" style="157" customWidth="1"/>
    <col min="15633" max="15881" width="11.5703125" style="157"/>
    <col min="15882" max="15882" width="10" style="157" customWidth="1"/>
    <col min="15883" max="15888" width="17" style="157" customWidth="1"/>
    <col min="15889" max="16137" width="11.5703125" style="157"/>
    <col min="16138" max="16138" width="10" style="157" customWidth="1"/>
    <col min="16139" max="16144" width="17" style="157" customWidth="1"/>
    <col min="16145" max="16384" width="11.5703125" style="157"/>
  </cols>
  <sheetData>
    <row r="1" spans="1:37" s="156" customFormat="1" ht="33" customHeight="1" thickBot="1">
      <c r="C1" s="441"/>
      <c r="D1" s="1197" t="s">
        <v>116</v>
      </c>
      <c r="E1" s="1197"/>
      <c r="F1" s="1197"/>
      <c r="G1" s="1197"/>
      <c r="H1" s="1197"/>
      <c r="I1" s="442"/>
      <c r="K1" s="1204" t="s">
        <v>574</v>
      </c>
      <c r="L1" s="1204"/>
      <c r="M1" s="1106">
        <v>8.77E-2</v>
      </c>
      <c r="O1" s="585">
        <f>'12 R1 Tarifa'!N3</f>
        <v>0.98980000000000001</v>
      </c>
      <c r="P1" s="1109" t="s">
        <v>562</v>
      </c>
      <c r="Q1" s="1109"/>
      <c r="R1" s="1109"/>
      <c r="S1" s="1108"/>
      <c r="T1" s="1108"/>
      <c r="V1" s="1109" t="s">
        <v>561</v>
      </c>
    </row>
    <row r="2" spans="1:37" ht="19.5" thickBot="1">
      <c r="C2" s="441"/>
      <c r="D2" s="1105">
        <v>0.02</v>
      </c>
      <c r="E2" s="1105">
        <v>0.94</v>
      </c>
      <c r="F2" s="1105">
        <v>1.4999999999999999E-2</v>
      </c>
      <c r="G2" s="1105">
        <v>0.01</v>
      </c>
      <c r="H2" s="1105">
        <v>1.4999999999999999E-2</v>
      </c>
      <c r="I2" s="1105">
        <f>SUM(D2:H2)</f>
        <v>1</v>
      </c>
      <c r="K2" s="1202" t="s">
        <v>575</v>
      </c>
      <c r="L2" s="1203"/>
      <c r="M2" s="1163">
        <v>5.4399999999999997E-2</v>
      </c>
      <c r="P2" s="228" t="s">
        <v>354</v>
      </c>
      <c r="Q2" s="228"/>
      <c r="R2" s="228"/>
      <c r="S2" s="228" t="s">
        <v>355</v>
      </c>
      <c r="T2" s="228" t="s">
        <v>356</v>
      </c>
      <c r="U2" s="228" t="s">
        <v>357</v>
      </c>
      <c r="V2" s="228" t="s">
        <v>354</v>
      </c>
      <c r="W2" s="228" t="s">
        <v>355</v>
      </c>
      <c r="X2" s="228" t="s">
        <v>356</v>
      </c>
      <c r="Y2" s="228" t="s">
        <v>357</v>
      </c>
    </row>
    <row r="3" spans="1:37" ht="21.75" customHeight="1" thickBot="1">
      <c r="C3" s="1198" t="s">
        <v>1</v>
      </c>
      <c r="D3" s="1200" t="s">
        <v>117</v>
      </c>
      <c r="E3" s="1200"/>
      <c r="F3" s="1200"/>
      <c r="G3" s="1200"/>
      <c r="H3" s="1200"/>
      <c r="I3" s="1201"/>
      <c r="P3" s="584">
        <f>'TS-R1 FC'!C18</f>
        <v>5.8799999999999998E-2</v>
      </c>
      <c r="Q3" s="584"/>
      <c r="R3" s="584"/>
      <c r="S3" s="584">
        <f>'TS-R1 FC'!D18</f>
        <v>5.8799999999999998E-2</v>
      </c>
      <c r="T3" s="584">
        <f>'TS-R1 FC'!E18</f>
        <v>5.8799999999999998E-2</v>
      </c>
      <c r="U3" s="584">
        <f>'TS-R1 FC'!F18</f>
        <v>5.8799999999999998E-2</v>
      </c>
      <c r="V3" s="584">
        <f>'TS-R1 FC'!C20</f>
        <v>0.9</v>
      </c>
      <c r="W3" s="584">
        <f>'TS-R1 FC'!D20</f>
        <v>1</v>
      </c>
      <c r="X3" s="584">
        <f>'TS-R1 FC'!E20</f>
        <v>1</v>
      </c>
      <c r="Y3" s="584">
        <f>'TS-R1 FC'!F20</f>
        <v>1</v>
      </c>
      <c r="AA3" s="237">
        <f>AA5/L5</f>
        <v>2.3381848962022564</v>
      </c>
      <c r="AB3" s="237"/>
      <c r="AC3" s="246">
        <f>AC5/N5</f>
        <v>1.8217399578233431</v>
      </c>
      <c r="AD3" s="246"/>
      <c r="AE3" s="237">
        <f>AC3/AA3</f>
        <v>0.77912570591926356</v>
      </c>
    </row>
    <row r="4" spans="1:37" s="158" customFormat="1" ht="45.75" customHeight="1" thickBot="1">
      <c r="C4" s="1199"/>
      <c r="D4" s="414" t="s">
        <v>105</v>
      </c>
      <c r="E4" s="49" t="s">
        <v>118</v>
      </c>
      <c r="F4" s="49" t="s">
        <v>119</v>
      </c>
      <c r="G4" s="49" t="s">
        <v>114</v>
      </c>
      <c r="H4" s="49" t="s">
        <v>120</v>
      </c>
      <c r="I4" s="49" t="s">
        <v>0</v>
      </c>
      <c r="L4" s="231" t="s">
        <v>243</v>
      </c>
      <c r="M4" s="232" t="s">
        <v>398</v>
      </c>
      <c r="N4" s="232" t="s">
        <v>242</v>
      </c>
      <c r="O4" s="232" t="s">
        <v>392</v>
      </c>
      <c r="P4" s="232" t="s">
        <v>393</v>
      </c>
      <c r="Q4" s="1194" t="s">
        <v>577</v>
      </c>
      <c r="R4" s="1195"/>
      <c r="S4" s="232" t="s">
        <v>559</v>
      </c>
      <c r="T4" s="232" t="s">
        <v>558</v>
      </c>
      <c r="U4" s="232" t="s">
        <v>397</v>
      </c>
      <c r="V4" s="232" t="s">
        <v>394</v>
      </c>
      <c r="W4" s="232" t="s">
        <v>395</v>
      </c>
      <c r="X4" s="232" t="s">
        <v>396</v>
      </c>
      <c r="Y4" s="232" t="s">
        <v>125</v>
      </c>
      <c r="AA4" s="239" t="s">
        <v>244</v>
      </c>
      <c r="AB4" s="239"/>
      <c r="AC4" s="239" t="s">
        <v>245</v>
      </c>
      <c r="AD4" s="239"/>
      <c r="AE4" s="239" t="s">
        <v>247</v>
      </c>
      <c r="AF4" s="240"/>
      <c r="AG4" s="239" t="s">
        <v>246</v>
      </c>
    </row>
    <row r="5" spans="1:37" ht="20.25" customHeight="1">
      <c r="C5" s="443">
        <v>1</v>
      </c>
      <c r="D5" s="560">
        <f t="shared" ref="D5:D13" si="0">$D$2*Y5</f>
        <v>47589.138598144586</v>
      </c>
      <c r="E5" s="561">
        <f t="shared" ref="E5:E13" si="1">$E$2*Y5</f>
        <v>2236689.5141127952</v>
      </c>
      <c r="F5" s="561">
        <f t="shared" ref="F5:F13" si="2">$F$2*Y5</f>
        <v>35691.853948608441</v>
      </c>
      <c r="G5" s="561">
        <f t="shared" ref="G5:G13" si="3">$G$2*Y5</f>
        <v>23794.569299072293</v>
      </c>
      <c r="H5" s="561">
        <f t="shared" ref="H5:H13" si="4">$H$2*Y5</f>
        <v>35691.853948608441</v>
      </c>
      <c r="I5" s="562">
        <f>SUM(D5:H5)</f>
        <v>2379456.9299072293</v>
      </c>
      <c r="L5" s="168">
        <f>'3 Vol'!F4</f>
        <v>721108.36546377453</v>
      </c>
      <c r="M5" s="559">
        <f>('2 R1 Lig'!E4/'2 R1 Lig'!C4)</f>
        <v>0.56000000000000005</v>
      </c>
      <c r="N5" s="227">
        <f>L5*M5</f>
        <v>403820.68465971376</v>
      </c>
      <c r="O5" s="578">
        <v>2.3143354102609934</v>
      </c>
      <c r="P5" s="577">
        <f>O5</f>
        <v>2.3143354102609934</v>
      </c>
      <c r="Q5" s="1195"/>
      <c r="R5" s="1195"/>
      <c r="S5" s="1107">
        <v>0</v>
      </c>
      <c r="T5" s="234">
        <f>P5*L5*$M$1*S5</f>
        <v>0</v>
      </c>
      <c r="U5" s="234">
        <f t="shared" ref="U5:U13" si="5">P5*L5-T5</f>
        <v>1668886.624828239</v>
      </c>
      <c r="V5" s="579">
        <v>1.7596183951739974</v>
      </c>
      <c r="W5" s="577">
        <f>V5</f>
        <v>1.7596183951739974</v>
      </c>
      <c r="X5" s="234">
        <f t="shared" ref="X5:X13" si="6">N5*W5</f>
        <v>710570.30507899041</v>
      </c>
      <c r="Y5" s="230">
        <f t="shared" ref="Y5:Y36" si="7">U5+X5</f>
        <v>2379456.9299072293</v>
      </c>
      <c r="AA5" s="241">
        <v>1686084.6886524945</v>
      </c>
      <c r="AB5" s="247">
        <f t="shared" ref="AB5:AB13" si="8">AA5/L5</f>
        <v>2.3381848962022564</v>
      </c>
      <c r="AC5" s="241">
        <v>735656.27704018052</v>
      </c>
      <c r="AD5" s="241">
        <f t="shared" ref="AD5:AD13" si="9">AC5/N5</f>
        <v>1.8217399578233431</v>
      </c>
      <c r="AE5" s="242">
        <f t="shared" ref="AE5:AE36" si="10">AA5+AC5</f>
        <v>2421740.9656926747</v>
      </c>
      <c r="AF5" s="243"/>
      <c r="AG5" s="241">
        <v>24217.409656926749</v>
      </c>
      <c r="AK5" s="235"/>
    </row>
    <row r="6" spans="1:37" ht="20.25" customHeight="1">
      <c r="C6" s="444">
        <v>2</v>
      </c>
      <c r="D6" s="560">
        <f t="shared" si="0"/>
        <v>48724.155582586507</v>
      </c>
      <c r="E6" s="561">
        <f t="shared" si="1"/>
        <v>2290035.3123815656</v>
      </c>
      <c r="F6" s="561">
        <f t="shared" si="2"/>
        <v>36543.11668693988</v>
      </c>
      <c r="G6" s="561">
        <f t="shared" si="3"/>
        <v>24362.077791293254</v>
      </c>
      <c r="H6" s="561">
        <f t="shared" si="4"/>
        <v>36543.11668693988</v>
      </c>
      <c r="I6" s="562">
        <f t="shared" ref="I6:I36" si="11">SUM(D6:H6)</f>
        <v>2436207.7791293245</v>
      </c>
      <c r="L6" s="168">
        <f>'3 Vol'!F5</f>
        <v>734665.34911619837</v>
      </c>
      <c r="M6" s="559">
        <f>('2 R1 Lig'!E5/'2 R1 Lig'!C5)</f>
        <v>0.56000000000000005</v>
      </c>
      <c r="N6" s="227">
        <f t="shared" ref="N6:N36" si="12">L6*M6</f>
        <v>411412.59550507111</v>
      </c>
      <c r="O6" s="578">
        <v>2.3306919403946198</v>
      </c>
      <c r="P6" s="577">
        <f>O6</f>
        <v>2.3306919403946198</v>
      </c>
      <c r="Q6" s="1195"/>
      <c r="R6" s="1195"/>
      <c r="S6" s="1107">
        <v>0</v>
      </c>
      <c r="T6" s="234">
        <f>P6*L6*$M$1*S6</f>
        <v>0</v>
      </c>
      <c r="U6" s="234">
        <f t="shared" si="5"/>
        <v>1712278.6080723233</v>
      </c>
      <c r="V6" s="578">
        <v>1.7596183951739974</v>
      </c>
      <c r="W6" s="577">
        <f>V6</f>
        <v>1.7596183951739974</v>
      </c>
      <c r="X6" s="234">
        <f t="shared" si="6"/>
        <v>723929.17105700215</v>
      </c>
      <c r="Y6" s="230">
        <f t="shared" si="7"/>
        <v>2436207.7791293254</v>
      </c>
      <c r="AA6" s="241">
        <v>1729923.8311500538</v>
      </c>
      <c r="AB6" s="247">
        <f t="shared" si="8"/>
        <v>2.3547099822131945</v>
      </c>
      <c r="AC6" s="241">
        <v>802391.09993413684</v>
      </c>
      <c r="AD6" s="241">
        <f t="shared" si="9"/>
        <v>1.9503318777809429</v>
      </c>
      <c r="AE6" s="242">
        <f t="shared" si="10"/>
        <v>2532314.9310841905</v>
      </c>
      <c r="AF6" s="243"/>
      <c r="AG6" s="241">
        <v>25323.149310841905</v>
      </c>
      <c r="AK6" s="235"/>
    </row>
    <row r="7" spans="1:37" ht="20.25" customHeight="1">
      <c r="C7" s="444">
        <v>3</v>
      </c>
      <c r="D7" s="560">
        <f t="shared" si="0"/>
        <v>50000.322967149601</v>
      </c>
      <c r="E7" s="561">
        <f t="shared" si="1"/>
        <v>2350015.1794560309</v>
      </c>
      <c r="F7" s="561">
        <f t="shared" si="2"/>
        <v>37500.242225362199</v>
      </c>
      <c r="G7" s="561">
        <f t="shared" si="3"/>
        <v>25000.161483574801</v>
      </c>
      <c r="H7" s="561">
        <f t="shared" si="4"/>
        <v>37500.242225362199</v>
      </c>
      <c r="I7" s="562">
        <f t="shared" si="11"/>
        <v>2500016.1483574794</v>
      </c>
      <c r="L7" s="168">
        <f>'3 Vol'!F6</f>
        <v>748265.46883539215</v>
      </c>
      <c r="M7" s="559">
        <f>('2 R1 Lig'!E6/'2 R1 Lig'!C6)</f>
        <v>0.56000000000000005</v>
      </c>
      <c r="N7" s="227">
        <f t="shared" si="12"/>
        <v>419028.66254781967</v>
      </c>
      <c r="O7" s="578">
        <v>2.3490236988265485</v>
      </c>
      <c r="P7" s="577">
        <f>O7</f>
        <v>2.3490236988265485</v>
      </c>
      <c r="Q7" s="1195"/>
      <c r="R7" s="1195"/>
      <c r="S7" s="1107">
        <v>0</v>
      </c>
      <c r="T7" s="234">
        <f>P7*L7*$M$1*S7</f>
        <v>0</v>
      </c>
      <c r="U7" s="234">
        <f t="shared" si="5"/>
        <v>1757693.3193078942</v>
      </c>
      <c r="V7" s="578">
        <v>1.7715323446755191</v>
      </c>
      <c r="W7" s="577">
        <f>V7</f>
        <v>1.7715323446755191</v>
      </c>
      <c r="X7" s="234">
        <f t="shared" si="6"/>
        <v>742322.82904958585</v>
      </c>
      <c r="Y7" s="230">
        <f t="shared" si="7"/>
        <v>2500016.1483574798</v>
      </c>
      <c r="AA7" s="241">
        <v>1775806.5460778887</v>
      </c>
      <c r="AB7" s="247">
        <f t="shared" si="8"/>
        <v>2.3732306514715584</v>
      </c>
      <c r="AC7" s="241">
        <v>928943.27098225581</v>
      </c>
      <c r="AD7" s="241">
        <f t="shared" si="9"/>
        <v>2.2168967280997025</v>
      </c>
      <c r="AE7" s="242">
        <f t="shared" si="10"/>
        <v>2704749.8170601446</v>
      </c>
      <c r="AF7" s="243"/>
      <c r="AG7" s="241">
        <v>27047.498170601448</v>
      </c>
      <c r="AK7" s="235"/>
    </row>
    <row r="8" spans="1:37" ht="20.25" customHeight="1">
      <c r="C8" s="444">
        <v>4</v>
      </c>
      <c r="D8" s="912">
        <f t="shared" si="0"/>
        <v>51700.456022109465</v>
      </c>
      <c r="E8" s="889">
        <f t="shared" si="1"/>
        <v>2429921.4330391446</v>
      </c>
      <c r="F8" s="889">
        <f t="shared" si="2"/>
        <v>38775.342016582093</v>
      </c>
      <c r="G8" s="889">
        <f t="shared" si="3"/>
        <v>25850.228011054733</v>
      </c>
      <c r="H8" s="889">
        <f t="shared" si="4"/>
        <v>38775.342016582093</v>
      </c>
      <c r="I8" s="890">
        <f t="shared" si="11"/>
        <v>2585022.8011054727</v>
      </c>
      <c r="L8" s="168">
        <f>'3 Vol'!F7</f>
        <v>761947.00884768926</v>
      </c>
      <c r="M8" s="559">
        <f>('2 R1 Lig'!E7/'2 R1 Lig'!C7)</f>
        <v>0.56000000000000005</v>
      </c>
      <c r="N8" s="227">
        <f t="shared" si="12"/>
        <v>426690.32495470601</v>
      </c>
      <c r="O8" s="578">
        <v>2.3675227280762523</v>
      </c>
      <c r="P8" s="577">
        <f>O8</f>
        <v>2.3675227280762523</v>
      </c>
      <c r="Q8" s="1195"/>
      <c r="R8" s="1195"/>
      <c r="S8" s="1107">
        <v>0</v>
      </c>
      <c r="T8" s="234">
        <f>P8*L8*$M$1*S8</f>
        <v>0</v>
      </c>
      <c r="U8" s="234">
        <f t="shared" si="5"/>
        <v>1803926.8610366217</v>
      </c>
      <c r="V8" s="578">
        <v>1.8305921048286389</v>
      </c>
      <c r="W8" s="577">
        <f>V8</f>
        <v>1.8305921048286389</v>
      </c>
      <c r="X8" s="234">
        <f t="shared" si="6"/>
        <v>781095.94006885123</v>
      </c>
      <c r="Y8" s="230">
        <f t="shared" si="7"/>
        <v>2585022.8011054732</v>
      </c>
      <c r="AA8" s="241">
        <v>1822516.5296389388</v>
      </c>
      <c r="AB8" s="247">
        <f t="shared" si="8"/>
        <v>2.391920315292233</v>
      </c>
      <c r="AC8" s="241">
        <v>1047282.8221336296</v>
      </c>
      <c r="AD8" s="241">
        <f t="shared" si="9"/>
        <v>2.4544330182429159</v>
      </c>
      <c r="AE8" s="242">
        <f t="shared" si="10"/>
        <v>2869799.3517725682</v>
      </c>
      <c r="AF8" s="243"/>
      <c r="AG8" s="241">
        <v>28697.993517725681</v>
      </c>
      <c r="AK8" s="235"/>
    </row>
    <row r="9" spans="1:37" ht="20.25" customHeight="1" thickBot="1">
      <c r="A9" s="1150">
        <v>43678</v>
      </c>
      <c r="B9" s="1150">
        <v>44013</v>
      </c>
      <c r="C9" s="98">
        <v>5</v>
      </c>
      <c r="D9" s="912">
        <f t="shared" si="0"/>
        <v>57562.885914838058</v>
      </c>
      <c r="E9" s="889">
        <f t="shared" si="1"/>
        <v>2705455.6379973884</v>
      </c>
      <c r="F9" s="889">
        <f t="shared" si="2"/>
        <v>43172.164436128536</v>
      </c>
      <c r="G9" s="889">
        <f t="shared" si="3"/>
        <v>28781.442957419029</v>
      </c>
      <c r="H9" s="889">
        <f t="shared" si="4"/>
        <v>43172.164436128536</v>
      </c>
      <c r="I9" s="890">
        <f t="shared" si="11"/>
        <v>2878144.2957419022</v>
      </c>
      <c r="L9" s="168">
        <f>'3 Vol'!F8</f>
        <v>775557.955523276</v>
      </c>
      <c r="M9" s="559">
        <f>('2 R1 Lig'!E8/'2 R1 Lig'!C8)</f>
        <v>0.56000000000000005</v>
      </c>
      <c r="N9" s="227">
        <f t="shared" si="12"/>
        <v>434312.4550930346</v>
      </c>
      <c r="O9" s="578">
        <v>2.3860867537380153</v>
      </c>
      <c r="P9" s="586">
        <f>O9*(1+P$3)</f>
        <v>2.5263886548578105</v>
      </c>
      <c r="Q9" s="1196"/>
      <c r="R9" s="1196"/>
      <c r="S9" s="1153">
        <v>0.4</v>
      </c>
      <c r="T9" s="234">
        <f>P9*L9*$M$1*S9</f>
        <v>68734.377566256808</v>
      </c>
      <c r="U9" s="234">
        <f t="shared" si="5"/>
        <v>1890626.4424524661</v>
      </c>
      <c r="V9" s="578">
        <v>1.848763677658215</v>
      </c>
      <c r="W9" s="586">
        <f>P9*$V$3</f>
        <v>2.2737497893720295</v>
      </c>
      <c r="X9" s="234">
        <f t="shared" si="6"/>
        <v>987517.85328943643</v>
      </c>
      <c r="Y9" s="230">
        <f t="shared" si="7"/>
        <v>2878144.2957419027</v>
      </c>
      <c r="AA9" s="241">
        <v>1869618.6749143519</v>
      </c>
      <c r="AB9" s="247">
        <f t="shared" si="8"/>
        <v>2.410675645320282</v>
      </c>
      <c r="AC9" s="241">
        <v>1148344.0049364793</v>
      </c>
      <c r="AD9" s="241">
        <f t="shared" si="9"/>
        <v>2.6440503639033128</v>
      </c>
      <c r="AE9" s="242">
        <f t="shared" si="10"/>
        <v>3017962.6798508312</v>
      </c>
      <c r="AF9" s="243"/>
      <c r="AG9" s="241">
        <v>30179.62679850831</v>
      </c>
      <c r="AK9" s="235"/>
    </row>
    <row r="10" spans="1:37" ht="20.25" customHeight="1">
      <c r="A10" s="1150">
        <f>A9+366</f>
        <v>44044</v>
      </c>
      <c r="B10" s="1150">
        <f>B9+366</f>
        <v>44379</v>
      </c>
      <c r="C10" s="98">
        <v>6</v>
      </c>
      <c r="D10" s="912">
        <f t="shared" si="0"/>
        <v>66093.095482550532</v>
      </c>
      <c r="E10" s="889">
        <f t="shared" si="1"/>
        <v>3106375.4876798745</v>
      </c>
      <c r="F10" s="889">
        <f t="shared" si="2"/>
        <v>49569.821611912892</v>
      </c>
      <c r="G10" s="889">
        <f t="shared" si="3"/>
        <v>33046.547741275266</v>
      </c>
      <c r="H10" s="889">
        <f t="shared" si="4"/>
        <v>49569.821611912892</v>
      </c>
      <c r="I10" s="890">
        <f t="shared" si="11"/>
        <v>3304654.7741275262</v>
      </c>
      <c r="L10" s="168">
        <f>'3 Vol'!F9</f>
        <v>789248.253318078</v>
      </c>
      <c r="M10" s="559">
        <f>('2 R1 Lig'!E9/'2 R1 Lig'!C9)</f>
        <v>0.57999999999999996</v>
      </c>
      <c r="N10" s="227">
        <f t="shared" si="12"/>
        <v>457763.98692448519</v>
      </c>
      <c r="O10" s="578">
        <v>2.4042434015879799</v>
      </c>
      <c r="P10" s="1154">
        <f>O10*(1+P$3)*(1+$S$3)</f>
        <v>2.6952949529211123</v>
      </c>
      <c r="Q10" s="1149">
        <v>0.60474801592272354</v>
      </c>
      <c r="R10" s="1149">
        <v>8.77E-2</v>
      </c>
      <c r="S10" s="1156">
        <v>0.5</v>
      </c>
      <c r="T10" s="234">
        <f>P10*L10*$M$1*S10*Q10</f>
        <v>56411.023229103783</v>
      </c>
      <c r="U10" s="234">
        <f t="shared" si="5"/>
        <v>2070845.8105409152</v>
      </c>
      <c r="V10" s="578">
        <v>1.8455921995718654</v>
      </c>
      <c r="W10" s="587">
        <f>P10*$W$3</f>
        <v>2.6952949529211123</v>
      </c>
      <c r="X10" s="234">
        <f t="shared" si="6"/>
        <v>1233808.963586611</v>
      </c>
      <c r="Y10" s="230">
        <f t="shared" si="7"/>
        <v>3304654.7741275262</v>
      </c>
      <c r="AA10" s="241">
        <v>1917099.3183015026</v>
      </c>
      <c r="AB10" s="247">
        <f t="shared" si="8"/>
        <v>2.4290193994624971</v>
      </c>
      <c r="AC10" s="241">
        <v>1268688.4652026508</v>
      </c>
      <c r="AD10" s="241">
        <f t="shared" si="9"/>
        <v>2.7714903344109927</v>
      </c>
      <c r="AE10" s="242">
        <f t="shared" si="10"/>
        <v>3185787.7835041536</v>
      </c>
      <c r="AF10" s="243"/>
      <c r="AG10" s="241">
        <v>31857.877835041538</v>
      </c>
      <c r="AK10" s="235"/>
    </row>
    <row r="11" spans="1:37" ht="20.25" customHeight="1">
      <c r="A11" s="1150">
        <f t="shared" ref="A11:A36" si="13">A10+366</f>
        <v>44410</v>
      </c>
      <c r="B11" s="1150">
        <f t="shared" ref="B11:B36" si="14">B10+366</f>
        <v>44745</v>
      </c>
      <c r="C11" s="98">
        <v>7</v>
      </c>
      <c r="D11" s="912">
        <f t="shared" si="0"/>
        <v>74345.054242578015</v>
      </c>
      <c r="E11" s="889">
        <f t="shared" si="1"/>
        <v>3494217.5494011664</v>
      </c>
      <c r="F11" s="889">
        <f t="shared" si="2"/>
        <v>55758.790681933504</v>
      </c>
      <c r="G11" s="889">
        <f t="shared" si="3"/>
        <v>37172.527121289007</v>
      </c>
      <c r="H11" s="889">
        <f t="shared" si="4"/>
        <v>55758.790681933504</v>
      </c>
      <c r="I11" s="890">
        <f t="shared" si="11"/>
        <v>3717252.7121289005</v>
      </c>
      <c r="L11" s="168">
        <f>'3 Vol'!F10</f>
        <v>790449.57940503443</v>
      </c>
      <c r="M11" s="559">
        <f>('2 R1 Lig'!E10/'2 R1 Lig'!C10)</f>
        <v>0.68</v>
      </c>
      <c r="N11" s="227">
        <f t="shared" si="12"/>
        <v>537505.7139954234</v>
      </c>
      <c r="O11" s="578">
        <v>2.4046587182777057</v>
      </c>
      <c r="P11" s="1154">
        <f>O11*(1+P$3)*(1+$S$3)*(1+$T$3)</f>
        <v>2.8542712669371073</v>
      </c>
      <c r="Q11" s="1149">
        <v>0.61567162933987396</v>
      </c>
      <c r="R11" s="1149">
        <v>8.77E-2</v>
      </c>
      <c r="S11" s="1157">
        <v>0.6</v>
      </c>
      <c r="T11" s="234">
        <f>P11*L11*$M$1*S11*Q11</f>
        <v>73091.925601062307</v>
      </c>
      <c r="U11" s="234">
        <f t="shared" si="5"/>
        <v>2183065.5968572488</v>
      </c>
      <c r="V11" s="578">
        <v>1.8515993644287023</v>
      </c>
      <c r="W11" s="587">
        <f t="shared" ref="W11" si="15">P11*$X$3</f>
        <v>2.8542712669371073</v>
      </c>
      <c r="X11" s="234">
        <f t="shared" si="6"/>
        <v>1534187.1152716517</v>
      </c>
      <c r="Y11" s="230">
        <f t="shared" si="7"/>
        <v>3717252.7121289005</v>
      </c>
      <c r="AA11" s="241">
        <v>1920349.0326078618</v>
      </c>
      <c r="AB11" s="247">
        <f t="shared" si="8"/>
        <v>2.4294389960372862</v>
      </c>
      <c r="AC11" s="241">
        <v>1377321.7720152314</v>
      </c>
      <c r="AD11" s="241">
        <f t="shared" si="9"/>
        <v>2.5624318703093056</v>
      </c>
      <c r="AE11" s="242">
        <f t="shared" si="10"/>
        <v>3297670.8046230935</v>
      </c>
      <c r="AF11" s="243"/>
      <c r="AG11" s="241">
        <v>32976.708046230939</v>
      </c>
      <c r="AK11" s="235"/>
    </row>
    <row r="12" spans="1:37" ht="20.25" customHeight="1">
      <c r="A12" s="1150">
        <f t="shared" si="13"/>
        <v>44776</v>
      </c>
      <c r="B12" s="1150">
        <f t="shared" si="14"/>
        <v>45111</v>
      </c>
      <c r="C12" s="98">
        <v>8</v>
      </c>
      <c r="D12" s="912">
        <f t="shared" si="0"/>
        <v>80479.661706682979</v>
      </c>
      <c r="E12" s="889">
        <f t="shared" si="1"/>
        <v>3782544.1002141</v>
      </c>
      <c r="F12" s="889">
        <f t="shared" si="2"/>
        <v>60359.746280012238</v>
      </c>
      <c r="G12" s="889">
        <f t="shared" si="3"/>
        <v>40239.830853341489</v>
      </c>
      <c r="H12" s="889">
        <f t="shared" si="4"/>
        <v>60359.746280012238</v>
      </c>
      <c r="I12" s="890">
        <f t="shared" si="11"/>
        <v>4023983.0853341487</v>
      </c>
      <c r="L12" s="168">
        <f>'3 Vol'!F11</f>
        <v>791650.90549199085</v>
      </c>
      <c r="M12" s="559">
        <f>('2 R1 Lig'!E11/'2 R1 Lig'!C11)</f>
        <v>0.72</v>
      </c>
      <c r="N12" s="227">
        <f t="shared" si="12"/>
        <v>569988.65195423341</v>
      </c>
      <c r="O12" s="578">
        <v>2.404782552116334</v>
      </c>
      <c r="P12" s="1154">
        <f>O12*(1+P$3)*(1+$S$3)*(1+$T$3)*(1+$U$3)</f>
        <v>3.0222580480596073</v>
      </c>
      <c r="Q12" s="1149">
        <v>0.62120764172492626</v>
      </c>
      <c r="R12" s="1149">
        <v>8.77E-2</v>
      </c>
      <c r="S12" s="1157">
        <v>0.7</v>
      </c>
      <c r="T12" s="234">
        <f>P12*L12*$M$1*S12*Q12</f>
        <v>91243.025714023912</v>
      </c>
      <c r="U12" s="234">
        <f t="shared" si="5"/>
        <v>2301330.2946628211</v>
      </c>
      <c r="V12" s="578">
        <v>1.8655600402974646</v>
      </c>
      <c r="W12" s="587">
        <f>P12*$Y$3</f>
        <v>3.0222580480596073</v>
      </c>
      <c r="X12" s="234">
        <f t="shared" si="6"/>
        <v>1722652.7906713283</v>
      </c>
      <c r="Y12" s="230">
        <f t="shared" si="7"/>
        <v>4023983.0853341492</v>
      </c>
      <c r="AA12" s="241">
        <v>1923366.6244637668</v>
      </c>
      <c r="AB12" s="247">
        <f t="shared" si="8"/>
        <v>2.4295641059975086</v>
      </c>
      <c r="AC12" s="241">
        <v>1478527.1604132766</v>
      </c>
      <c r="AD12" s="241">
        <f t="shared" si="9"/>
        <v>2.5939589417159015</v>
      </c>
      <c r="AE12" s="242">
        <f t="shared" si="10"/>
        <v>3401893.7848770432</v>
      </c>
      <c r="AF12" s="243"/>
      <c r="AG12" s="241">
        <v>34018.937848770431</v>
      </c>
      <c r="AK12" s="235"/>
    </row>
    <row r="13" spans="1:37" ht="20.25" customHeight="1" thickBot="1">
      <c r="A13" s="1150">
        <f t="shared" si="13"/>
        <v>45142</v>
      </c>
      <c r="B13" s="1150">
        <f t="shared" si="14"/>
        <v>45477</v>
      </c>
      <c r="C13" s="98">
        <v>9</v>
      </c>
      <c r="D13" s="912">
        <f t="shared" si="0"/>
        <v>80919.484914457556</v>
      </c>
      <c r="E13" s="889">
        <f t="shared" si="1"/>
        <v>3803215.7909795051</v>
      </c>
      <c r="F13" s="889">
        <f t="shared" si="2"/>
        <v>60689.613685843164</v>
      </c>
      <c r="G13" s="889">
        <f t="shared" si="3"/>
        <v>40459.742457228778</v>
      </c>
      <c r="H13" s="889">
        <f t="shared" si="4"/>
        <v>60689.613685843164</v>
      </c>
      <c r="I13" s="890">
        <f t="shared" si="11"/>
        <v>4045974.2457228773</v>
      </c>
      <c r="L13" s="168">
        <f>'3 Vol'!F12</f>
        <v>792852.23157894751</v>
      </c>
      <c r="M13" s="559">
        <f>('2 R1 Lig'!E12/'2 R1 Lig'!C12)</f>
        <v>0.75</v>
      </c>
      <c r="N13" s="227">
        <f t="shared" si="12"/>
        <v>594639.17368421063</v>
      </c>
      <c r="O13" s="578">
        <v>2.4046162280643255</v>
      </c>
      <c r="P13" s="1154">
        <f>O13*(1+P$3)*(1+$S$3)*(1+$T$3)*(1+$U$3)</f>
        <v>3.0220490170167267</v>
      </c>
      <c r="Q13" s="1189">
        <f>Q12+1.09%</f>
        <v>0.63210764172492628</v>
      </c>
      <c r="R13" s="1155">
        <v>8.77E-2</v>
      </c>
      <c r="S13" s="1158">
        <v>0.7</v>
      </c>
      <c r="T13" s="234">
        <f>P13*L13*R13*S13</f>
        <v>147092.79167180549</v>
      </c>
      <c r="U13" s="234">
        <f t="shared" si="5"/>
        <v>2248945.5154108708</v>
      </c>
      <c r="V13" s="578">
        <v>1.9233271651184656</v>
      </c>
      <c r="W13" s="587">
        <f t="shared" ref="W13:W36" si="16">P13*$Y$3</f>
        <v>3.0220490170167267</v>
      </c>
      <c r="X13" s="234">
        <f t="shared" si="6"/>
        <v>1797028.7303120072</v>
      </c>
      <c r="Y13" s="230">
        <f t="shared" si="7"/>
        <v>4045974.2457228778</v>
      </c>
      <c r="AA13" s="241">
        <v>1926152.0938692177</v>
      </c>
      <c r="AB13" s="247">
        <f t="shared" si="8"/>
        <v>2.4293960679574917</v>
      </c>
      <c r="AC13" s="241">
        <v>1526622.9321473935</v>
      </c>
      <c r="AD13" s="241">
        <f t="shared" si="9"/>
        <v>2.5673097227834547</v>
      </c>
      <c r="AE13" s="242">
        <f t="shared" si="10"/>
        <v>3452775.0260166111</v>
      </c>
      <c r="AF13" s="243"/>
      <c r="AG13" s="241">
        <v>34527.750260166111</v>
      </c>
      <c r="AK13" s="235"/>
    </row>
    <row r="14" spans="1:37" ht="2.25" customHeight="1" thickBot="1">
      <c r="A14" s="1150"/>
      <c r="B14" s="1150"/>
      <c r="C14" s="1150"/>
      <c r="D14" s="1150"/>
      <c r="E14" s="1150"/>
      <c r="F14" s="1150"/>
      <c r="G14" s="1150"/>
      <c r="H14" s="1150"/>
      <c r="I14" s="1150"/>
      <c r="J14" s="1150"/>
      <c r="L14" s="168"/>
      <c r="M14" s="559"/>
      <c r="N14" s="227"/>
      <c r="O14" s="578"/>
      <c r="P14" s="1159"/>
      <c r="Q14" s="1149"/>
      <c r="R14" s="1149"/>
      <c r="S14" s="1160"/>
      <c r="T14" s="234"/>
      <c r="U14" s="234"/>
      <c r="V14" s="578"/>
      <c r="W14" s="587"/>
      <c r="X14" s="234"/>
      <c r="Y14" s="230"/>
      <c r="AA14" s="241"/>
      <c r="AB14" s="247"/>
      <c r="AC14" s="241"/>
      <c r="AD14" s="241"/>
      <c r="AE14" s="242"/>
      <c r="AF14" s="243"/>
      <c r="AG14" s="241"/>
      <c r="AK14" s="235"/>
    </row>
    <row r="15" spans="1:37" ht="20.25" customHeight="1" thickBot="1">
      <c r="A15" s="1150">
        <f>A13+366</f>
        <v>45508</v>
      </c>
      <c r="B15" s="1150">
        <f>B13+366</f>
        <v>45843</v>
      </c>
      <c r="C15" s="98">
        <v>10</v>
      </c>
      <c r="D15" s="912">
        <f>$D$2*Y15</f>
        <v>84429.72013176464</v>
      </c>
      <c r="E15" s="889">
        <f>$E$2*Y15</f>
        <v>3968196.8461929378</v>
      </c>
      <c r="F15" s="889">
        <f>$F$2*Y15</f>
        <v>63322.290098823476</v>
      </c>
      <c r="G15" s="889">
        <f>$G$2*Y15</f>
        <v>42214.86006588232</v>
      </c>
      <c r="H15" s="889">
        <f>$H$2*Y15</f>
        <v>63322.290098823476</v>
      </c>
      <c r="I15" s="890">
        <f t="shared" si="11"/>
        <v>4221486.0065882318</v>
      </c>
      <c r="L15" s="168">
        <f>'3 Vol'!F13</f>
        <v>794111.95766590373</v>
      </c>
      <c r="M15" s="559">
        <f>('2 R1 Lig'!E13/'2 R1 Lig'!C13)</f>
        <v>0.79</v>
      </c>
      <c r="N15" s="227">
        <f t="shared" si="12"/>
        <v>627348.44655606395</v>
      </c>
      <c r="O15" s="578">
        <v>2.4045629038797096</v>
      </c>
      <c r="P15" s="1159">
        <f>O15*(1+P$3)*(1+$S$3)*(1+$T$3)*(1+$U$3)</f>
        <v>3.0219820007927569</v>
      </c>
      <c r="Q15" s="1161">
        <v>0.62360000000000004</v>
      </c>
      <c r="R15" s="1176">
        <f>((5/12)*Q15*M1)+((7/12)*M2)</f>
        <v>5.452071666666667E-2</v>
      </c>
      <c r="S15" s="1162">
        <f>(5/12*80%)+(7/12*40%)</f>
        <v>0.56666666666666676</v>
      </c>
      <c r="T15" s="234">
        <f>P15*L15*S15*R15</f>
        <v>74141.749810151028</v>
      </c>
      <c r="U15" s="234">
        <f>P15*L15-T15</f>
        <v>2325650.2928705099</v>
      </c>
      <c r="V15" s="578">
        <v>1.9233126912028902</v>
      </c>
      <c r="W15" s="587">
        <f t="shared" si="16"/>
        <v>3.0219820007927569</v>
      </c>
      <c r="X15" s="234">
        <f>N15*W15</f>
        <v>1895835.7137177221</v>
      </c>
      <c r="Y15" s="230">
        <f t="shared" si="7"/>
        <v>4221486.0065882318</v>
      </c>
      <c r="AA15" s="241">
        <v>1929169.6857251227</v>
      </c>
      <c r="AB15" s="247">
        <f>AA15/L15</f>
        <v>2.4293421942611735</v>
      </c>
      <c r="AC15" s="241">
        <v>1529037.0056321176</v>
      </c>
      <c r="AD15" s="241">
        <f>AC15/N15</f>
        <v>2.4373010151312662</v>
      </c>
      <c r="AE15" s="242">
        <f t="shared" si="10"/>
        <v>3458206.6913572401</v>
      </c>
      <c r="AF15" s="243"/>
      <c r="AG15" s="241">
        <v>34582.066913572402</v>
      </c>
      <c r="AK15" s="235"/>
    </row>
    <row r="16" spans="1:37" ht="2.25" customHeight="1" thickBot="1">
      <c r="A16" s="1150"/>
      <c r="B16" s="1150"/>
      <c r="C16" s="1150"/>
      <c r="D16" s="1150"/>
      <c r="E16" s="1150"/>
      <c r="F16" s="1150"/>
      <c r="G16" s="1150"/>
      <c r="H16" s="1150"/>
      <c r="I16" s="1150"/>
      <c r="J16" s="1150"/>
      <c r="L16" s="168"/>
      <c r="M16" s="559"/>
      <c r="N16" s="227"/>
      <c r="O16" s="578"/>
      <c r="P16" s="587"/>
      <c r="Q16" s="1148"/>
      <c r="R16" s="1149"/>
      <c r="S16" s="1107"/>
      <c r="T16" s="234"/>
      <c r="U16" s="234"/>
      <c r="V16" s="578"/>
      <c r="W16" s="587"/>
      <c r="X16" s="234"/>
      <c r="Y16" s="230"/>
      <c r="AA16" s="241"/>
      <c r="AB16" s="247"/>
      <c r="AC16" s="241"/>
      <c r="AD16" s="241"/>
      <c r="AE16" s="242"/>
      <c r="AF16" s="243"/>
      <c r="AG16" s="241"/>
      <c r="AK16" s="235"/>
    </row>
    <row r="17" spans="1:37" ht="20.25" customHeight="1">
      <c r="A17" s="1150">
        <f>A15+366</f>
        <v>45874</v>
      </c>
      <c r="B17" s="1150">
        <f>B15+366</f>
        <v>46209</v>
      </c>
      <c r="C17" s="98">
        <v>11</v>
      </c>
      <c r="D17" s="912">
        <f t="shared" ref="D17:D36" si="17">$D$2*Y17</f>
        <v>88323.57742356103</v>
      </c>
      <c r="E17" s="889">
        <f t="shared" ref="E17:E36" si="18">$E$2*Y17</f>
        <v>4151208.1389073683</v>
      </c>
      <c r="F17" s="889">
        <f t="shared" ref="F17:F36" si="19">$F$2*Y17</f>
        <v>66242.683067670776</v>
      </c>
      <c r="G17" s="889">
        <f t="shared" ref="G17:G36" si="20">$G$2*Y17</f>
        <v>44161.788711780515</v>
      </c>
      <c r="H17" s="889">
        <f t="shared" ref="H17:H36" si="21">$H$2*Y17</f>
        <v>66242.683067670776</v>
      </c>
      <c r="I17" s="890">
        <f t="shared" si="11"/>
        <v>4416178.8711780524</v>
      </c>
      <c r="L17" s="168">
        <f>'3 Vol'!F14</f>
        <v>795351.92196796346</v>
      </c>
      <c r="M17" s="559">
        <f>('2 R1 Lig'!E14/'2 R1 Lig'!C14)</f>
        <v>0.87</v>
      </c>
      <c r="N17" s="227">
        <f t="shared" si="12"/>
        <v>691956.17211212823</v>
      </c>
      <c r="O17" s="578">
        <v>2.4045694924802548</v>
      </c>
      <c r="P17" s="1159">
        <f t="shared" ref="P17:P36" si="22">O17*(1+P$3)*(1+$S$3)*(1+$T$3)*(1+$U$3)</f>
        <v>3.0219902811468398</v>
      </c>
      <c r="Q17" s="1164"/>
      <c r="R17" s="1177">
        <f>M2</f>
        <v>5.4399999999999997E-2</v>
      </c>
      <c r="S17" s="1165">
        <v>0.6</v>
      </c>
      <c r="T17" s="234">
        <f>P17*L17*S17*R17</f>
        <v>78451.734203014974</v>
      </c>
      <c r="U17" s="234">
        <f t="shared" ref="U17:U36" si="23">P17*L17-T17</f>
        <v>2325094.0440756301</v>
      </c>
      <c r="V17" s="578">
        <v>1.9231128328821623</v>
      </c>
      <c r="W17" s="587">
        <f t="shared" si="16"/>
        <v>3.0219902811468398</v>
      </c>
      <c r="X17" s="234">
        <f t="shared" ref="X17:X36" si="24">N17*W17</f>
        <v>2091084.8271024216</v>
      </c>
      <c r="Y17" s="230">
        <f t="shared" si="7"/>
        <v>4416178.8711780515</v>
      </c>
      <c r="AA17" s="241">
        <v>1932187.2775810277</v>
      </c>
      <c r="AB17" s="247">
        <f t="shared" ref="AB17:AB36" si="25">AA17/L17</f>
        <v>2.4293488507579863</v>
      </c>
      <c r="AC17" s="241">
        <v>1531265.3811564781</v>
      </c>
      <c r="AD17" s="241">
        <f t="shared" ref="AD17:AD36" si="26">AC17/N17</f>
        <v>2.2129514019398671</v>
      </c>
      <c r="AE17" s="242">
        <f t="shared" si="10"/>
        <v>3463452.6587375058</v>
      </c>
      <c r="AF17" s="243"/>
      <c r="AG17" s="241">
        <v>34634.526587375061</v>
      </c>
      <c r="AK17" s="235"/>
    </row>
    <row r="18" spans="1:37" ht="20.25" customHeight="1" thickBot="1">
      <c r="A18" s="1150">
        <f t="shared" si="13"/>
        <v>46240</v>
      </c>
      <c r="B18" s="1150">
        <f t="shared" si="14"/>
        <v>46575</v>
      </c>
      <c r="C18" s="98">
        <v>12</v>
      </c>
      <c r="D18" s="104">
        <f t="shared" si="17"/>
        <v>94271.495651090969</v>
      </c>
      <c r="E18" s="105">
        <f t="shared" si="18"/>
        <v>4430760.2956012748</v>
      </c>
      <c r="F18" s="105">
        <f t="shared" si="19"/>
        <v>70703.621738318223</v>
      </c>
      <c r="G18" s="105">
        <f t="shared" si="20"/>
        <v>47135.747825545484</v>
      </c>
      <c r="H18" s="105">
        <f t="shared" si="21"/>
        <v>70703.621738318223</v>
      </c>
      <c r="I18" s="106">
        <f t="shared" si="11"/>
        <v>4713574.7825545473</v>
      </c>
      <c r="L18" s="168">
        <f>'3 Vol'!F15</f>
        <v>796494.84805491997</v>
      </c>
      <c r="M18" s="233">
        <f>('2 R1 Lig'!E15/'2 R1 Lig'!C15)</f>
        <v>0.99090909090909107</v>
      </c>
      <c r="N18" s="227">
        <f t="shared" si="12"/>
        <v>789253.98579987534</v>
      </c>
      <c r="O18" s="578">
        <v>2.4045805564773186</v>
      </c>
      <c r="P18" s="1159">
        <f t="shared" si="22"/>
        <v>3.022004186044037</v>
      </c>
      <c r="Q18" s="1166"/>
      <c r="R18" s="1178">
        <f>R17</f>
        <v>5.4399999999999997E-2</v>
      </c>
      <c r="S18" s="1167">
        <v>0.6</v>
      </c>
      <c r="T18" s="234">
        <f>P18*L18*S18*R18</f>
        <v>78564.831369093328</v>
      </c>
      <c r="U18" s="234">
        <f t="shared" si="23"/>
        <v>2328445.9336153842</v>
      </c>
      <c r="V18" s="578">
        <v>1.9231478683308969</v>
      </c>
      <c r="W18" s="587">
        <f t="shared" si="16"/>
        <v>3.022004186044037</v>
      </c>
      <c r="X18" s="234">
        <f t="shared" si="24"/>
        <v>2385128.8489391641</v>
      </c>
      <c r="Y18" s="230">
        <f t="shared" si="7"/>
        <v>4713574.7825545482</v>
      </c>
      <c r="AA18" s="241">
        <v>1934972.7469864786</v>
      </c>
      <c r="AB18" s="247">
        <f t="shared" si="25"/>
        <v>2.4293600287707804</v>
      </c>
      <c r="AC18" s="241">
        <v>1533493.7566808388</v>
      </c>
      <c r="AD18" s="241">
        <f t="shared" si="26"/>
        <v>1.9429661227832864</v>
      </c>
      <c r="AE18" s="242">
        <f t="shared" si="10"/>
        <v>3468466.5036673173</v>
      </c>
      <c r="AF18" s="243"/>
      <c r="AG18" s="241">
        <v>34684.665036673177</v>
      </c>
      <c r="AK18" s="235"/>
    </row>
    <row r="19" spans="1:37" ht="20.25" customHeight="1">
      <c r="A19" s="1150">
        <f t="shared" si="13"/>
        <v>46606</v>
      </c>
      <c r="B19" s="1150">
        <f t="shared" si="14"/>
        <v>46941</v>
      </c>
      <c r="C19" s="98">
        <v>13</v>
      </c>
      <c r="D19" s="104">
        <f t="shared" si="17"/>
        <v>94407.203178419775</v>
      </c>
      <c r="E19" s="105">
        <f t="shared" si="18"/>
        <v>4437138.5493857292</v>
      </c>
      <c r="F19" s="105">
        <f t="shared" si="19"/>
        <v>70805.402383814828</v>
      </c>
      <c r="G19" s="105">
        <f t="shared" si="20"/>
        <v>47203.601589209888</v>
      </c>
      <c r="H19" s="105">
        <f t="shared" si="21"/>
        <v>70805.402383814828</v>
      </c>
      <c r="I19" s="106">
        <f t="shared" si="11"/>
        <v>4720360.1589209884</v>
      </c>
      <c r="L19" s="168">
        <f>'3 Vol'!F16</f>
        <v>797637.77414187649</v>
      </c>
      <c r="M19" s="233">
        <f>('2 R1 Lig'!E16/'2 R1 Lig'!C16)</f>
        <v>0.99090909090909096</v>
      </c>
      <c r="N19" s="227">
        <f t="shared" si="12"/>
        <v>790386.52164967766</v>
      </c>
      <c r="O19" s="578">
        <v>2.4045915887674303</v>
      </c>
      <c r="P19" s="587">
        <f t="shared" si="22"/>
        <v>3.0220180510928953</v>
      </c>
      <c r="Q19" s="1148"/>
      <c r="R19" s="1179">
        <f>$M$2</f>
        <v>5.4399999999999997E-2</v>
      </c>
      <c r="S19" s="1107">
        <v>0.6</v>
      </c>
      <c r="T19" s="234">
        <f t="shared" ref="T19:T36" si="27">P19*L19*S19*R19</f>
        <v>78677.928535171668</v>
      </c>
      <c r="U19" s="234">
        <f t="shared" si="23"/>
        <v>2331797.8231551368</v>
      </c>
      <c r="V19" s="578">
        <v>1.9231828033758402</v>
      </c>
      <c r="W19" s="587">
        <f t="shared" si="16"/>
        <v>3.0220180510928953</v>
      </c>
      <c r="X19" s="234">
        <f t="shared" si="24"/>
        <v>2388562.3357658512</v>
      </c>
      <c r="Y19" s="230">
        <f t="shared" si="7"/>
        <v>4720360.1589209884</v>
      </c>
      <c r="AA19" s="241">
        <v>1937758.2163919292</v>
      </c>
      <c r="AB19" s="247">
        <f t="shared" si="25"/>
        <v>2.4293711747498792</v>
      </c>
      <c r="AC19" s="241">
        <v>1535722.1322051995</v>
      </c>
      <c r="AD19" s="241">
        <f t="shared" si="26"/>
        <v>1.9430014178377857</v>
      </c>
      <c r="AE19" s="242">
        <f t="shared" si="10"/>
        <v>3473480.3485971289</v>
      </c>
      <c r="AF19" s="243"/>
      <c r="AG19" s="241">
        <v>34734.803485971286</v>
      </c>
      <c r="AK19" s="235"/>
    </row>
    <row r="20" spans="1:37" ht="20.25" customHeight="1">
      <c r="A20" s="1150">
        <f t="shared" si="13"/>
        <v>46972</v>
      </c>
      <c r="B20" s="1150">
        <f t="shared" si="14"/>
        <v>47307</v>
      </c>
      <c r="C20" s="98">
        <v>14</v>
      </c>
      <c r="D20" s="104">
        <f t="shared" si="17"/>
        <v>94542.910705748596</v>
      </c>
      <c r="E20" s="105">
        <f t="shared" si="18"/>
        <v>4443516.8031701837</v>
      </c>
      <c r="F20" s="105">
        <f t="shared" si="19"/>
        <v>70907.183029311447</v>
      </c>
      <c r="G20" s="105">
        <f t="shared" si="20"/>
        <v>47271.455352874298</v>
      </c>
      <c r="H20" s="105">
        <f t="shared" si="21"/>
        <v>70907.183029311447</v>
      </c>
      <c r="I20" s="106">
        <f t="shared" si="11"/>
        <v>4727145.5352874305</v>
      </c>
      <c r="L20" s="168">
        <f>'3 Vol'!F17</f>
        <v>798780.70022883313</v>
      </c>
      <c r="M20" s="233">
        <f>('2 R1 Lig'!E17/'2 R1 Lig'!C17)</f>
        <v>0.99090909090909107</v>
      </c>
      <c r="N20" s="227">
        <f t="shared" si="12"/>
        <v>791519.0574994802</v>
      </c>
      <c r="O20" s="578">
        <v>2.4046025894866938</v>
      </c>
      <c r="P20" s="587">
        <f t="shared" si="22"/>
        <v>3.0220318764644656</v>
      </c>
      <c r="Q20" s="1148"/>
      <c r="R20" s="1179">
        <f t="shared" ref="R20:R36" si="28">$M$2</f>
        <v>5.4399999999999997E-2</v>
      </c>
      <c r="S20" s="1107">
        <v>0.6</v>
      </c>
      <c r="T20" s="234">
        <f t="shared" si="27"/>
        <v>78791.025701250008</v>
      </c>
      <c r="U20" s="234">
        <f t="shared" si="23"/>
        <v>2335149.7126948903</v>
      </c>
      <c r="V20" s="578">
        <v>1.9232176384479767</v>
      </c>
      <c r="W20" s="587">
        <f t="shared" si="16"/>
        <v>3.0220318764644656</v>
      </c>
      <c r="X20" s="234">
        <f t="shared" si="24"/>
        <v>2391995.8225925392</v>
      </c>
      <c r="Y20" s="230">
        <f t="shared" si="7"/>
        <v>4727145.5352874296</v>
      </c>
      <c r="AA20" s="241">
        <v>1940543.6857973801</v>
      </c>
      <c r="AB20" s="247">
        <f t="shared" si="25"/>
        <v>2.4293822888327883</v>
      </c>
      <c r="AC20" s="241">
        <v>1537950.5077295601</v>
      </c>
      <c r="AD20" s="241">
        <f t="shared" si="26"/>
        <v>1.943036611889247</v>
      </c>
      <c r="AE20" s="242">
        <f t="shared" si="10"/>
        <v>3478494.1935269404</v>
      </c>
      <c r="AF20" s="243"/>
      <c r="AG20" s="241">
        <v>34784.941935269402</v>
      </c>
      <c r="AK20" s="235"/>
    </row>
    <row r="21" spans="1:37" ht="20.25" customHeight="1">
      <c r="A21" s="1150">
        <f t="shared" si="13"/>
        <v>47338</v>
      </c>
      <c r="B21" s="1150">
        <f t="shared" si="14"/>
        <v>47673</v>
      </c>
      <c r="C21" s="98">
        <v>15</v>
      </c>
      <c r="D21" s="104">
        <f t="shared" si="17"/>
        <v>94678.618233077446</v>
      </c>
      <c r="E21" s="105">
        <f t="shared" si="18"/>
        <v>4449895.05695464</v>
      </c>
      <c r="F21" s="105">
        <f t="shared" si="19"/>
        <v>71008.963674808081</v>
      </c>
      <c r="G21" s="105">
        <f t="shared" si="20"/>
        <v>47339.309116538723</v>
      </c>
      <c r="H21" s="105">
        <f t="shared" si="21"/>
        <v>71008.963674808081</v>
      </c>
      <c r="I21" s="106">
        <f t="shared" si="11"/>
        <v>4733930.9116538716</v>
      </c>
      <c r="L21" s="168">
        <f>'3 Vol'!F18</f>
        <v>799923.62631578965</v>
      </c>
      <c r="M21" s="233">
        <f>('2 R1 Lig'!E18/'2 R1 Lig'!C18)</f>
        <v>0.99090909090909096</v>
      </c>
      <c r="N21" s="227">
        <f t="shared" si="12"/>
        <v>792651.59334928251</v>
      </c>
      <c r="O21" s="578">
        <v>2.4046135587704347</v>
      </c>
      <c r="P21" s="587">
        <f t="shared" si="22"/>
        <v>3.022045662328821</v>
      </c>
      <c r="Q21" s="1148"/>
      <c r="R21" s="1179">
        <f t="shared" si="28"/>
        <v>5.4399999999999997E-2</v>
      </c>
      <c r="S21" s="1107">
        <v>0.6</v>
      </c>
      <c r="T21" s="234">
        <f t="shared" si="27"/>
        <v>78904.122867328391</v>
      </c>
      <c r="U21" s="234">
        <f t="shared" si="23"/>
        <v>2338501.6022346443</v>
      </c>
      <c r="V21" s="578">
        <v>1.9232523739758285</v>
      </c>
      <c r="W21" s="587">
        <f t="shared" si="16"/>
        <v>3.022045662328821</v>
      </c>
      <c r="X21" s="234">
        <f t="shared" si="24"/>
        <v>2395429.3094192278</v>
      </c>
      <c r="Y21" s="230">
        <f t="shared" si="7"/>
        <v>4733930.9116538726</v>
      </c>
      <c r="AA21" s="241">
        <v>1943329.1552028309</v>
      </c>
      <c r="AB21" s="247">
        <f t="shared" si="25"/>
        <v>2.4293933711562281</v>
      </c>
      <c r="AC21" s="241">
        <v>1540178.8832539206</v>
      </c>
      <c r="AD21" s="241">
        <f t="shared" si="26"/>
        <v>1.9430717053706086</v>
      </c>
      <c r="AE21" s="242">
        <f t="shared" si="10"/>
        <v>3483508.0384567515</v>
      </c>
      <c r="AF21" s="243"/>
      <c r="AG21" s="241">
        <v>34835.080384567518</v>
      </c>
      <c r="AK21" s="235"/>
    </row>
    <row r="22" spans="1:37" ht="20.25" customHeight="1">
      <c r="A22" s="1150">
        <f t="shared" si="13"/>
        <v>47704</v>
      </c>
      <c r="B22" s="1150">
        <f t="shared" si="14"/>
        <v>48039</v>
      </c>
      <c r="C22" s="98">
        <v>16</v>
      </c>
      <c r="D22" s="104">
        <f t="shared" si="17"/>
        <v>94803.0167997955</v>
      </c>
      <c r="E22" s="105">
        <f t="shared" si="18"/>
        <v>4455741.7895903885</v>
      </c>
      <c r="F22" s="105">
        <f t="shared" si="19"/>
        <v>71102.262599846625</v>
      </c>
      <c r="G22" s="105">
        <f t="shared" si="20"/>
        <v>47401.50839989775</v>
      </c>
      <c r="H22" s="105">
        <f t="shared" si="21"/>
        <v>71102.262599846625</v>
      </c>
      <c r="I22" s="106">
        <f t="shared" si="11"/>
        <v>4740150.8399897749</v>
      </c>
      <c r="L22" s="168">
        <f>'3 Vol'!F19</f>
        <v>800835.60846681916</v>
      </c>
      <c r="M22" s="233">
        <f>('2 R1 Lig'!E19/'2 R1 Lig'!C19)</f>
        <v>0.99090909090909107</v>
      </c>
      <c r="N22" s="227">
        <f t="shared" si="12"/>
        <v>793555.28475348454</v>
      </c>
      <c r="O22" s="578">
        <v>2.405031045414133</v>
      </c>
      <c r="P22" s="587">
        <f t="shared" si="22"/>
        <v>3.0225703469277523</v>
      </c>
      <c r="Q22" s="1148"/>
      <c r="R22" s="1179">
        <f t="shared" si="28"/>
        <v>5.4399999999999997E-2</v>
      </c>
      <c r="S22" s="1107">
        <v>0.6</v>
      </c>
      <c r="T22" s="234">
        <f t="shared" si="27"/>
        <v>79007.795269566835</v>
      </c>
      <c r="U22" s="234">
        <f t="shared" si="23"/>
        <v>2341574.167646084</v>
      </c>
      <c r="V22" s="578">
        <v>1.9236100246900563</v>
      </c>
      <c r="W22" s="587">
        <f t="shared" si="16"/>
        <v>3.0225703469277523</v>
      </c>
      <c r="X22" s="234">
        <f t="shared" si="24"/>
        <v>2398576.6723436909</v>
      </c>
      <c r="Y22" s="230">
        <f t="shared" si="7"/>
        <v>4740150.8399897749</v>
      </c>
      <c r="AA22" s="241">
        <v>1945882.5021578274</v>
      </c>
      <c r="AB22" s="247">
        <f t="shared" si="25"/>
        <v>2.4298151600466085</v>
      </c>
      <c r="AC22" s="241">
        <v>1542221.5608179178</v>
      </c>
      <c r="AD22" s="241">
        <f t="shared" si="26"/>
        <v>1.943433041715555</v>
      </c>
      <c r="AE22" s="242">
        <f t="shared" si="10"/>
        <v>3488104.0629757452</v>
      </c>
      <c r="AF22" s="243"/>
      <c r="AG22" s="241">
        <v>34881.040629757452</v>
      </c>
      <c r="AK22" s="235"/>
    </row>
    <row r="23" spans="1:37" ht="20.25" customHeight="1">
      <c r="A23" s="1150">
        <f t="shared" si="13"/>
        <v>48070</v>
      </c>
      <c r="B23" s="1150">
        <f t="shared" si="14"/>
        <v>48405</v>
      </c>
      <c r="C23" s="98">
        <v>17</v>
      </c>
      <c r="D23" s="104">
        <f t="shared" si="17"/>
        <v>94916.106405902872</v>
      </c>
      <c r="E23" s="105">
        <f t="shared" si="18"/>
        <v>4461057.001077435</v>
      </c>
      <c r="F23" s="105">
        <f t="shared" si="19"/>
        <v>71187.079804427151</v>
      </c>
      <c r="G23" s="105">
        <f t="shared" si="20"/>
        <v>47458.053202951436</v>
      </c>
      <c r="H23" s="105">
        <f t="shared" si="21"/>
        <v>71187.079804427151</v>
      </c>
      <c r="I23" s="106">
        <f t="shared" si="11"/>
        <v>4745805.3202951429</v>
      </c>
      <c r="L23" s="168">
        <f>'3 Vol'!F20</f>
        <v>801765.58169336373</v>
      </c>
      <c r="M23" s="233">
        <f>('2 R1 Lig'!E20/'2 R1 Lig'!C20)</f>
        <v>0.99090909090909107</v>
      </c>
      <c r="N23" s="227">
        <f t="shared" si="12"/>
        <v>794476.80367796961</v>
      </c>
      <c r="O23" s="578">
        <v>2.4051070446023544</v>
      </c>
      <c r="P23" s="587">
        <f t="shared" si="22"/>
        <v>3.0226658604111005</v>
      </c>
      <c r="Q23" s="1148"/>
      <c r="R23" s="1179">
        <f t="shared" si="28"/>
        <v>5.4399999999999997E-2</v>
      </c>
      <c r="S23" s="1107">
        <v>0.6</v>
      </c>
      <c r="T23" s="234">
        <f t="shared" si="27"/>
        <v>79102.042907965471</v>
      </c>
      <c r="U23" s="234">
        <f t="shared" si="23"/>
        <v>2344367.4089292125</v>
      </c>
      <c r="V23" s="578">
        <v>1.9236923371884111</v>
      </c>
      <c r="W23" s="587">
        <f t="shared" si="16"/>
        <v>3.0226658604111005</v>
      </c>
      <c r="X23" s="234">
        <f t="shared" si="24"/>
        <v>2401437.9113659309</v>
      </c>
      <c r="Y23" s="230">
        <f t="shared" si="7"/>
        <v>4745805.3202951439</v>
      </c>
      <c r="AA23" s="241">
        <v>1948203.7266623697</v>
      </c>
      <c r="AB23" s="247">
        <f t="shared" si="25"/>
        <v>2.4298919424149874</v>
      </c>
      <c r="AC23" s="241">
        <v>1544078.5404215518</v>
      </c>
      <c r="AD23" s="241">
        <f t="shared" si="26"/>
        <v>1.9435162024534363</v>
      </c>
      <c r="AE23" s="242">
        <f t="shared" si="10"/>
        <v>3492282.2670839215</v>
      </c>
      <c r="AF23" s="243"/>
      <c r="AG23" s="241">
        <v>34922.822670839218</v>
      </c>
      <c r="AK23" s="235"/>
    </row>
    <row r="24" spans="1:37" ht="20.25" customHeight="1">
      <c r="A24" s="1150">
        <f t="shared" si="13"/>
        <v>48436</v>
      </c>
      <c r="B24" s="1150">
        <f t="shared" si="14"/>
        <v>48771</v>
      </c>
      <c r="C24" s="98">
        <v>18</v>
      </c>
      <c r="D24" s="104">
        <f t="shared" si="17"/>
        <v>95029.196012010201</v>
      </c>
      <c r="E24" s="105">
        <f t="shared" si="18"/>
        <v>4466372.2125644796</v>
      </c>
      <c r="F24" s="105">
        <f t="shared" si="19"/>
        <v>71271.897009007647</v>
      </c>
      <c r="G24" s="105">
        <f t="shared" si="20"/>
        <v>47514.598006005101</v>
      </c>
      <c r="H24" s="105">
        <f t="shared" si="21"/>
        <v>71271.897009007647</v>
      </c>
      <c r="I24" s="106">
        <f t="shared" si="11"/>
        <v>4751459.8006005101</v>
      </c>
      <c r="L24" s="168">
        <f>'3 Vol'!F21</f>
        <v>802695.55491990852</v>
      </c>
      <c r="M24" s="233">
        <f>('2 R1 Lig'!E21/'2 R1 Lig'!C21)</f>
        <v>0.99090909090909096</v>
      </c>
      <c r="N24" s="227">
        <f t="shared" si="12"/>
        <v>795398.32260245481</v>
      </c>
      <c r="O24" s="578">
        <v>2.4051828676909071</v>
      </c>
      <c r="P24" s="587">
        <f t="shared" si="22"/>
        <v>3.0227611525777061</v>
      </c>
      <c r="Q24" s="1148"/>
      <c r="R24" s="1179">
        <f t="shared" si="28"/>
        <v>5.4399999999999997E-2</v>
      </c>
      <c r="S24" s="1107">
        <v>0.6</v>
      </c>
      <c r="T24" s="234">
        <f t="shared" si="27"/>
        <v>79196.290546364093</v>
      </c>
      <c r="U24" s="234">
        <f t="shared" si="23"/>
        <v>2347160.6502123401</v>
      </c>
      <c r="V24" s="578">
        <v>1.923774458958365</v>
      </c>
      <c r="W24" s="587">
        <f t="shared" si="16"/>
        <v>3.0227611525777061</v>
      </c>
      <c r="X24" s="234">
        <f t="shared" si="24"/>
        <v>2404299.1503881705</v>
      </c>
      <c r="Y24" s="230">
        <f t="shared" si="7"/>
        <v>4751459.8006005101</v>
      </c>
      <c r="AA24" s="241">
        <v>1950524.951166912</v>
      </c>
      <c r="AB24" s="247">
        <f t="shared" si="25"/>
        <v>2.4299685468689707</v>
      </c>
      <c r="AC24" s="241">
        <v>1545935.5200251855</v>
      </c>
      <c r="AD24" s="241">
        <f t="shared" si="26"/>
        <v>1.9435991704974389</v>
      </c>
      <c r="AE24" s="242">
        <f t="shared" si="10"/>
        <v>3496460.4711920973</v>
      </c>
      <c r="AF24" s="243"/>
      <c r="AG24" s="241">
        <v>34964.604711920976</v>
      </c>
      <c r="AK24" s="235"/>
    </row>
    <row r="25" spans="1:37" s="158" customFormat="1" ht="20.25" customHeight="1">
      <c r="A25" s="1150">
        <f t="shared" si="13"/>
        <v>48802</v>
      </c>
      <c r="B25" s="1150">
        <f t="shared" si="14"/>
        <v>49137</v>
      </c>
      <c r="C25" s="98">
        <v>19</v>
      </c>
      <c r="D25" s="104">
        <f t="shared" si="17"/>
        <v>95142.285618117545</v>
      </c>
      <c r="E25" s="105">
        <f t="shared" si="18"/>
        <v>4471687.4240515241</v>
      </c>
      <c r="F25" s="105">
        <f t="shared" si="19"/>
        <v>71356.714213588159</v>
      </c>
      <c r="G25" s="105">
        <f t="shared" si="20"/>
        <v>47571.142809058772</v>
      </c>
      <c r="H25" s="105">
        <f t="shared" si="21"/>
        <v>71356.714213588159</v>
      </c>
      <c r="I25" s="106">
        <f t="shared" si="11"/>
        <v>4757114.2809058772</v>
      </c>
      <c r="L25" s="168">
        <f>'3 Vol'!F22</f>
        <v>803625.5281464532</v>
      </c>
      <c r="M25" s="233">
        <f>('2 R1 Lig'!E22/'2 R1 Lig'!C22)</f>
        <v>0.99090909090909085</v>
      </c>
      <c r="N25" s="227">
        <f t="shared" si="12"/>
        <v>796319.84152694</v>
      </c>
      <c r="O25" s="578">
        <v>2.4052585152911514</v>
      </c>
      <c r="P25" s="587">
        <f t="shared" si="22"/>
        <v>3.0228562241959085</v>
      </c>
      <c r="Q25" s="1148"/>
      <c r="R25" s="1179">
        <f t="shared" si="28"/>
        <v>5.4399999999999997E-2</v>
      </c>
      <c r="S25" s="1107">
        <v>0.6</v>
      </c>
      <c r="T25" s="234">
        <f t="shared" si="27"/>
        <v>79290.5381847627</v>
      </c>
      <c r="U25" s="234">
        <f t="shared" si="23"/>
        <v>2349953.8914954672</v>
      </c>
      <c r="V25" s="578">
        <v>1.9236255740585051</v>
      </c>
      <c r="W25" s="587">
        <f t="shared" si="16"/>
        <v>3.0228562241959085</v>
      </c>
      <c r="X25" s="234">
        <f t="shared" si="24"/>
        <v>2407160.3894104101</v>
      </c>
      <c r="Y25" s="230">
        <f t="shared" si="7"/>
        <v>4757114.2809058772</v>
      </c>
      <c r="AA25" s="244">
        <v>1952846.1756714543</v>
      </c>
      <c r="AB25" s="247">
        <f t="shared" si="25"/>
        <v>2.4300449740262189</v>
      </c>
      <c r="AC25" s="244">
        <v>1547606.8016684561</v>
      </c>
      <c r="AD25" s="241">
        <f t="shared" si="26"/>
        <v>1.9434487513219894</v>
      </c>
      <c r="AE25" s="242">
        <f t="shared" si="10"/>
        <v>3500452.9773399103</v>
      </c>
      <c r="AF25" s="240"/>
      <c r="AG25" s="244">
        <v>35004.529773399103</v>
      </c>
      <c r="AK25" s="236"/>
    </row>
    <row r="26" spans="1:37" ht="20.25" customHeight="1">
      <c r="A26" s="1150">
        <f t="shared" si="13"/>
        <v>49168</v>
      </c>
      <c r="B26" s="1150">
        <f t="shared" si="14"/>
        <v>49503</v>
      </c>
      <c r="C26" s="98">
        <v>20</v>
      </c>
      <c r="D26" s="104">
        <f t="shared" si="17"/>
        <v>95244.066263614193</v>
      </c>
      <c r="E26" s="105">
        <f t="shared" si="18"/>
        <v>4476471.1143898666</v>
      </c>
      <c r="F26" s="105">
        <f t="shared" si="19"/>
        <v>71433.049697710638</v>
      </c>
      <c r="G26" s="105">
        <f t="shared" si="20"/>
        <v>47622.033131807097</v>
      </c>
      <c r="H26" s="105">
        <f t="shared" si="21"/>
        <v>71433.049697710638</v>
      </c>
      <c r="I26" s="106">
        <f t="shared" si="11"/>
        <v>4762203.3131807083</v>
      </c>
      <c r="L26" s="168">
        <f>'3 Vol'!F23</f>
        <v>804555.50137299765</v>
      </c>
      <c r="M26" s="233">
        <f>('2 R1 Lig'!E23/'2 R1 Lig'!C23)</f>
        <v>0.99090909090909096</v>
      </c>
      <c r="N26" s="227">
        <f t="shared" si="12"/>
        <v>797241.36045142496</v>
      </c>
      <c r="O26" s="578">
        <v>2.4050484206379994</v>
      </c>
      <c r="P26" s="587">
        <f t="shared" si="22"/>
        <v>3.0225921835840941</v>
      </c>
      <c r="Q26" s="1148"/>
      <c r="R26" s="1179">
        <f t="shared" si="28"/>
        <v>5.4399999999999997E-2</v>
      </c>
      <c r="S26" s="1107">
        <v>0.6</v>
      </c>
      <c r="T26" s="234">
        <f t="shared" si="27"/>
        <v>79375.361059321498</v>
      </c>
      <c r="U26" s="234">
        <f t="shared" si="23"/>
        <v>2352467.8086502831</v>
      </c>
      <c r="V26" s="578">
        <v>1.9234770333461393</v>
      </c>
      <c r="W26" s="587">
        <f t="shared" si="16"/>
        <v>3.0225921835840941</v>
      </c>
      <c r="X26" s="234">
        <f t="shared" si="24"/>
        <v>2409735.5045304266</v>
      </c>
      <c r="Y26" s="230">
        <f t="shared" si="7"/>
        <v>4762203.3131807093</v>
      </c>
      <c r="AA26" s="241">
        <v>1954935.2777255424</v>
      </c>
      <c r="AB26" s="247">
        <f t="shared" si="25"/>
        <v>2.4298327143241054</v>
      </c>
      <c r="AC26" s="241">
        <v>1549278.0833117266</v>
      </c>
      <c r="AD26" s="241">
        <f t="shared" si="26"/>
        <v>1.9432986798809246</v>
      </c>
      <c r="AE26" s="242">
        <f t="shared" si="10"/>
        <v>3504213.3610372692</v>
      </c>
      <c r="AF26" s="243"/>
      <c r="AG26" s="241">
        <v>35042.133610372694</v>
      </c>
      <c r="AK26" s="235"/>
    </row>
    <row r="27" spans="1:37" ht="20.25" customHeight="1">
      <c r="A27" s="1150">
        <f t="shared" si="13"/>
        <v>49534</v>
      </c>
      <c r="B27" s="1150">
        <f t="shared" si="14"/>
        <v>49869</v>
      </c>
      <c r="C27" s="98">
        <v>21</v>
      </c>
      <c r="D27" s="104">
        <f t="shared" si="17"/>
        <v>95368.464830332319</v>
      </c>
      <c r="E27" s="105">
        <f t="shared" si="18"/>
        <v>4482317.8470256189</v>
      </c>
      <c r="F27" s="105">
        <f t="shared" si="19"/>
        <v>71526.348622749239</v>
      </c>
      <c r="G27" s="105">
        <f t="shared" si="20"/>
        <v>47684.23241516616</v>
      </c>
      <c r="H27" s="105">
        <f t="shared" si="21"/>
        <v>71526.348622749239</v>
      </c>
      <c r="I27" s="106">
        <f t="shared" si="11"/>
        <v>4768423.2415166162</v>
      </c>
      <c r="L27" s="168">
        <f>'3 Vol'!F24</f>
        <v>805699.31281464512</v>
      </c>
      <c r="M27" s="233">
        <f>('2 R1 Lig'!E24/'2 R1 Lig'!C24)</f>
        <v>0.99090909090909085</v>
      </c>
      <c r="N27" s="227">
        <f t="shared" si="12"/>
        <v>798374.77360723924</v>
      </c>
      <c r="O27" s="578">
        <v>2.4047708740624603</v>
      </c>
      <c r="P27" s="587">
        <f t="shared" si="22"/>
        <v>3.0222433714343655</v>
      </c>
      <c r="Q27" s="1148"/>
      <c r="R27" s="1179">
        <f t="shared" si="28"/>
        <v>5.4399999999999997E-2</v>
      </c>
      <c r="S27" s="1107">
        <v>0.6</v>
      </c>
      <c r="T27" s="234">
        <f t="shared" si="27"/>
        <v>79479.03346156</v>
      </c>
      <c r="U27" s="234">
        <f t="shared" si="23"/>
        <v>2355540.3740617246</v>
      </c>
      <c r="V27" s="578">
        <v>1.9232788157584999</v>
      </c>
      <c r="W27" s="587">
        <f t="shared" si="16"/>
        <v>3.0222433714343655</v>
      </c>
      <c r="X27" s="234">
        <f t="shared" si="24"/>
        <v>2412882.8674548911</v>
      </c>
      <c r="Y27" s="230">
        <f t="shared" si="7"/>
        <v>4768423.2415166162</v>
      </c>
      <c r="AA27" s="241">
        <v>1957488.6246805391</v>
      </c>
      <c r="AB27" s="247">
        <f t="shared" si="25"/>
        <v>2.4295523075999799</v>
      </c>
      <c r="AC27" s="241">
        <v>1551320.7608757238</v>
      </c>
      <c r="AD27" s="241">
        <f t="shared" si="26"/>
        <v>1.9430984196388157</v>
      </c>
      <c r="AE27" s="242">
        <f t="shared" si="10"/>
        <v>3508809.3855562629</v>
      </c>
      <c r="AF27" s="243"/>
      <c r="AG27" s="241">
        <v>35088.093855562627</v>
      </c>
      <c r="AK27" s="235"/>
    </row>
    <row r="28" spans="1:37" ht="20.25" customHeight="1">
      <c r="A28" s="1150">
        <f t="shared" si="13"/>
        <v>49900</v>
      </c>
      <c r="B28" s="1150">
        <f t="shared" si="14"/>
        <v>50235</v>
      </c>
      <c r="C28" s="98">
        <v>22</v>
      </c>
      <c r="D28" s="104">
        <f t="shared" si="17"/>
        <v>95492.863397050387</v>
      </c>
      <c r="E28" s="105">
        <f t="shared" si="18"/>
        <v>4488164.5796613684</v>
      </c>
      <c r="F28" s="105">
        <f t="shared" si="19"/>
        <v>71619.647547787783</v>
      </c>
      <c r="G28" s="105">
        <f t="shared" si="20"/>
        <v>47746.431698525193</v>
      </c>
      <c r="H28" s="105">
        <f t="shared" si="21"/>
        <v>71619.647547787783</v>
      </c>
      <c r="I28" s="106">
        <f t="shared" si="11"/>
        <v>4774643.1698525203</v>
      </c>
      <c r="L28" s="168">
        <f>'3 Vol'!F25</f>
        <v>806493.60961098387</v>
      </c>
      <c r="M28" s="233">
        <f>('2 R1 Lig'!E25/'2 R1 Lig'!C25)</f>
        <v>0.99090909090909096</v>
      </c>
      <c r="N28" s="227">
        <f t="shared" si="12"/>
        <v>799161.84952361137</v>
      </c>
      <c r="O28" s="578">
        <v>2.4055361634677372</v>
      </c>
      <c r="P28" s="587">
        <f t="shared" si="22"/>
        <v>3.0232051640347635</v>
      </c>
      <c r="Q28" s="1148"/>
      <c r="R28" s="1179">
        <f t="shared" si="28"/>
        <v>5.4399999999999997E-2</v>
      </c>
      <c r="S28" s="1107">
        <v>0.6</v>
      </c>
      <c r="T28" s="234">
        <f t="shared" si="27"/>
        <v>79582.705863798459</v>
      </c>
      <c r="U28" s="234">
        <f t="shared" si="23"/>
        <v>2358612.9394731643</v>
      </c>
      <c r="V28" s="578">
        <v>1.9236845808429042</v>
      </c>
      <c r="W28" s="587">
        <f t="shared" si="16"/>
        <v>3.0232051640347635</v>
      </c>
      <c r="X28" s="234">
        <f t="shared" si="24"/>
        <v>2416030.2303793547</v>
      </c>
      <c r="Y28" s="230">
        <f t="shared" si="7"/>
        <v>4774643.1698525194</v>
      </c>
      <c r="AA28" s="241">
        <v>1960041.9716355356</v>
      </c>
      <c r="AB28" s="247">
        <f t="shared" si="25"/>
        <v>2.4303254833984007</v>
      </c>
      <c r="AC28" s="241">
        <v>1553177.7404793578</v>
      </c>
      <c r="AD28" s="241">
        <f t="shared" si="26"/>
        <v>1.9435083661779189</v>
      </c>
      <c r="AE28" s="242">
        <f t="shared" si="10"/>
        <v>3513219.7121148934</v>
      </c>
      <c r="AF28" s="243"/>
      <c r="AG28" s="241">
        <v>35132.197121148936</v>
      </c>
      <c r="AK28" s="235"/>
    </row>
    <row r="29" spans="1:37" s="158" customFormat="1" ht="20.25" customHeight="1">
      <c r="A29" s="1150">
        <f t="shared" si="13"/>
        <v>50266</v>
      </c>
      <c r="B29" s="1150">
        <f t="shared" si="14"/>
        <v>50601</v>
      </c>
      <c r="C29" s="98">
        <v>23</v>
      </c>
      <c r="D29" s="104">
        <f t="shared" si="17"/>
        <v>95583.335081936268</v>
      </c>
      <c r="E29" s="105">
        <f t="shared" si="18"/>
        <v>4492416.7488510041</v>
      </c>
      <c r="F29" s="105">
        <f t="shared" si="19"/>
        <v>71687.501311452201</v>
      </c>
      <c r="G29" s="105">
        <f t="shared" si="20"/>
        <v>47791.667540968134</v>
      </c>
      <c r="H29" s="105">
        <f t="shared" si="21"/>
        <v>71687.501311452201</v>
      </c>
      <c r="I29" s="106">
        <f t="shared" si="11"/>
        <v>4779166.7540968126</v>
      </c>
      <c r="L29" s="168">
        <f>'3 Vol'!F26</f>
        <v>807287.90640732273</v>
      </c>
      <c r="M29" s="233">
        <f>('2 R1 Lig'!E26/'2 R1 Lig'!C26)</f>
        <v>0.99090909090909107</v>
      </c>
      <c r="N29" s="227">
        <f t="shared" si="12"/>
        <v>799948.92543998361</v>
      </c>
      <c r="O29" s="578">
        <v>2.4054461444598143</v>
      </c>
      <c r="P29" s="587">
        <f t="shared" si="22"/>
        <v>3.0230920308656404</v>
      </c>
      <c r="Q29" s="1148"/>
      <c r="R29" s="1179">
        <f t="shared" si="28"/>
        <v>5.4399999999999997E-2</v>
      </c>
      <c r="S29" s="1107">
        <v>0.6</v>
      </c>
      <c r="T29" s="234">
        <f t="shared" si="27"/>
        <v>79658.103974517362</v>
      </c>
      <c r="U29" s="234">
        <f t="shared" si="23"/>
        <v>2360847.5324996668</v>
      </c>
      <c r="V29" s="578">
        <v>1.9236300085151614</v>
      </c>
      <c r="W29" s="587">
        <f t="shared" si="16"/>
        <v>3.0230920308656404</v>
      </c>
      <c r="X29" s="234">
        <f t="shared" si="24"/>
        <v>2418319.2215971467</v>
      </c>
      <c r="Y29" s="230">
        <f t="shared" si="7"/>
        <v>4779166.7540968135</v>
      </c>
      <c r="AA29" s="244">
        <v>1961898.9512391693</v>
      </c>
      <c r="AB29" s="247">
        <f t="shared" si="25"/>
        <v>2.4302345367345062</v>
      </c>
      <c r="AC29" s="244">
        <v>1554663.3241622648</v>
      </c>
      <c r="AD29" s="241">
        <f t="shared" si="26"/>
        <v>1.9434532314762187</v>
      </c>
      <c r="AE29" s="242">
        <f t="shared" si="10"/>
        <v>3516562.2754014339</v>
      </c>
      <c r="AF29" s="240"/>
      <c r="AG29" s="244">
        <v>35165.622754014337</v>
      </c>
      <c r="AK29" s="236"/>
    </row>
    <row r="30" spans="1:37" s="158" customFormat="1" ht="20.25" customHeight="1">
      <c r="A30" s="1150">
        <f t="shared" si="13"/>
        <v>50632</v>
      </c>
      <c r="B30" s="1150">
        <f t="shared" si="14"/>
        <v>50967</v>
      </c>
      <c r="C30" s="98">
        <v>24</v>
      </c>
      <c r="D30" s="104">
        <f t="shared" si="17"/>
        <v>95673.806766822148</v>
      </c>
      <c r="E30" s="105">
        <f t="shared" si="18"/>
        <v>4496668.9180406407</v>
      </c>
      <c r="F30" s="105">
        <f t="shared" si="19"/>
        <v>71755.355075116604</v>
      </c>
      <c r="G30" s="105">
        <f t="shared" si="20"/>
        <v>47836.903383411074</v>
      </c>
      <c r="H30" s="105">
        <f t="shared" si="21"/>
        <v>71755.355075116604</v>
      </c>
      <c r="I30" s="106">
        <f t="shared" si="11"/>
        <v>4783690.3383411067</v>
      </c>
      <c r="L30" s="168">
        <f>'3 Vol'!F27</f>
        <v>808082.20320366137</v>
      </c>
      <c r="M30" s="233">
        <f>('2 R1 Lig'!E27/'2 R1 Lig'!C27)</f>
        <v>0.99090909090909096</v>
      </c>
      <c r="N30" s="227">
        <f t="shared" si="12"/>
        <v>800736.00135635538</v>
      </c>
      <c r="O30" s="578">
        <v>2.4053563024185656</v>
      </c>
      <c r="P30" s="587">
        <f t="shared" si="22"/>
        <v>3.0229791201028857</v>
      </c>
      <c r="Q30" s="1148"/>
      <c r="R30" s="1179">
        <f t="shared" si="28"/>
        <v>5.4399999999999997E-2</v>
      </c>
      <c r="S30" s="1107">
        <v>0.6</v>
      </c>
      <c r="T30" s="234">
        <f t="shared" si="27"/>
        <v>79733.50208523628</v>
      </c>
      <c r="U30" s="234">
        <f t="shared" si="23"/>
        <v>2363082.1255261693</v>
      </c>
      <c r="V30" s="578">
        <v>1.9238050870910706</v>
      </c>
      <c r="W30" s="587">
        <f t="shared" si="16"/>
        <v>3.0229791201028857</v>
      </c>
      <c r="X30" s="234">
        <f t="shared" si="24"/>
        <v>2420608.2128149383</v>
      </c>
      <c r="Y30" s="230">
        <f t="shared" si="7"/>
        <v>4783690.3383411076</v>
      </c>
      <c r="AA30" s="244">
        <v>1963755.9308428033</v>
      </c>
      <c r="AB30" s="247">
        <f t="shared" si="25"/>
        <v>2.4301437688609471</v>
      </c>
      <c r="AC30" s="244">
        <v>1556334.6058055353</v>
      </c>
      <c r="AD30" s="241">
        <f t="shared" si="26"/>
        <v>1.9436301142564867</v>
      </c>
      <c r="AE30" s="242">
        <f t="shared" si="10"/>
        <v>3520090.5366483387</v>
      </c>
      <c r="AF30" s="240"/>
      <c r="AG30" s="244">
        <v>35200.905366483385</v>
      </c>
      <c r="AK30" s="236"/>
    </row>
    <row r="31" spans="1:37" ht="20.25" customHeight="1">
      <c r="A31" s="1150">
        <f t="shared" si="13"/>
        <v>50998</v>
      </c>
      <c r="B31" s="1150">
        <f t="shared" si="14"/>
        <v>51333</v>
      </c>
      <c r="C31" s="98">
        <v>25</v>
      </c>
      <c r="D31" s="104">
        <f t="shared" si="17"/>
        <v>95764.278451708029</v>
      </c>
      <c r="E31" s="105">
        <f t="shared" si="18"/>
        <v>4500921.0872302772</v>
      </c>
      <c r="F31" s="105">
        <f t="shared" si="19"/>
        <v>71823.208838781022</v>
      </c>
      <c r="G31" s="105">
        <f t="shared" si="20"/>
        <v>47882.139225854015</v>
      </c>
      <c r="H31" s="105">
        <f t="shared" si="21"/>
        <v>71823.208838781022</v>
      </c>
      <c r="I31" s="106">
        <f t="shared" si="11"/>
        <v>4788213.9225854017</v>
      </c>
      <c r="L31" s="168">
        <f>'3 Vol'!F28</f>
        <v>808876.50000000012</v>
      </c>
      <c r="M31" s="233">
        <f>('2 R1 Lig'!E28/'2 R1 Lig'!C28)</f>
        <v>0.99090909090909085</v>
      </c>
      <c r="N31" s="227">
        <f t="shared" si="12"/>
        <v>801523.07727272739</v>
      </c>
      <c r="O31" s="578">
        <v>2.4052666368226587</v>
      </c>
      <c r="P31" s="587">
        <f t="shared" si="22"/>
        <v>3.0228664310913054</v>
      </c>
      <c r="Q31" s="1148"/>
      <c r="R31" s="1179">
        <f t="shared" si="28"/>
        <v>5.4399999999999997E-2</v>
      </c>
      <c r="S31" s="1107">
        <v>0.6</v>
      </c>
      <c r="T31" s="234">
        <f t="shared" si="27"/>
        <v>79808.900195955168</v>
      </c>
      <c r="U31" s="234">
        <f t="shared" si="23"/>
        <v>2365316.7185526714</v>
      </c>
      <c r="V31" s="578">
        <v>1.9239798218212822</v>
      </c>
      <c r="W31" s="587">
        <f t="shared" si="16"/>
        <v>3.0228664310913054</v>
      </c>
      <c r="X31" s="234">
        <f t="shared" si="24"/>
        <v>2422897.2040327298</v>
      </c>
      <c r="Y31" s="230">
        <f t="shared" si="7"/>
        <v>4788213.9225854017</v>
      </c>
      <c r="AA31" s="241">
        <v>1965612.9104464371</v>
      </c>
      <c r="AB31" s="247">
        <f t="shared" si="25"/>
        <v>2.4300531792510189</v>
      </c>
      <c r="AC31" s="241">
        <v>1558005.8874488056</v>
      </c>
      <c r="AD31" s="241">
        <f t="shared" si="26"/>
        <v>1.9438066496476887</v>
      </c>
      <c r="AE31" s="242">
        <f t="shared" si="10"/>
        <v>3523618.7978952425</v>
      </c>
      <c r="AF31" s="243"/>
      <c r="AG31" s="241">
        <v>35236.187978952425</v>
      </c>
      <c r="AK31" s="235"/>
    </row>
    <row r="32" spans="1:37" ht="20.25" customHeight="1">
      <c r="A32" s="1150">
        <f t="shared" si="13"/>
        <v>51364</v>
      </c>
      <c r="B32" s="1150">
        <f t="shared" si="14"/>
        <v>51699</v>
      </c>
      <c r="C32" s="98">
        <v>26</v>
      </c>
      <c r="D32" s="104">
        <f t="shared" si="17"/>
        <v>95877.368057815416</v>
      </c>
      <c r="E32" s="105">
        <f t="shared" si="18"/>
        <v>4506236.2987173246</v>
      </c>
      <c r="F32" s="105">
        <f t="shared" si="19"/>
        <v>71908.026043361562</v>
      </c>
      <c r="G32" s="105">
        <f t="shared" si="20"/>
        <v>47938.684028907708</v>
      </c>
      <c r="H32" s="105">
        <f t="shared" si="21"/>
        <v>71908.026043361562</v>
      </c>
      <c r="I32" s="106">
        <f t="shared" si="11"/>
        <v>4793868.4028907716</v>
      </c>
      <c r="L32" s="168">
        <f>'3 Vol'!F29</f>
        <v>810020.31144164759</v>
      </c>
      <c r="M32" s="233">
        <f>('2 R1 Lig'!E29/'2 R1 Lig'!C29)</f>
        <v>0.99090909090909118</v>
      </c>
      <c r="N32" s="227">
        <f t="shared" si="12"/>
        <v>802656.4904285419</v>
      </c>
      <c r="O32" s="578">
        <v>2.4047066218719135</v>
      </c>
      <c r="P32" s="587">
        <f t="shared" si="22"/>
        <v>3.0221626212227446</v>
      </c>
      <c r="Q32" s="1148"/>
      <c r="R32" s="1179">
        <f t="shared" si="28"/>
        <v>5.4399999999999997E-2</v>
      </c>
      <c r="S32" s="1107">
        <v>0.6</v>
      </c>
      <c r="T32" s="234">
        <f t="shared" si="27"/>
        <v>79903.147834353804</v>
      </c>
      <c r="U32" s="234">
        <f t="shared" si="23"/>
        <v>2368109.9598357999</v>
      </c>
      <c r="V32" s="578">
        <v>1.9235529572360173</v>
      </c>
      <c r="W32" s="587">
        <f t="shared" si="16"/>
        <v>3.0221626212227446</v>
      </c>
      <c r="X32" s="234">
        <f t="shared" si="24"/>
        <v>2425758.4430549708</v>
      </c>
      <c r="Y32" s="230">
        <f t="shared" si="7"/>
        <v>4793868.4028907707</v>
      </c>
      <c r="AA32" s="241">
        <v>1967934.1349509794</v>
      </c>
      <c r="AB32" s="247">
        <f t="shared" si="25"/>
        <v>2.429487393283404</v>
      </c>
      <c r="AC32" s="241">
        <v>1559862.8670524396</v>
      </c>
      <c r="AD32" s="241">
        <f t="shared" si="26"/>
        <v>1.9433753861750023</v>
      </c>
      <c r="AE32" s="242">
        <f t="shared" si="10"/>
        <v>3527797.0020034192</v>
      </c>
      <c r="AF32" s="243"/>
      <c r="AG32" s="241">
        <v>35277.97002003419</v>
      </c>
      <c r="AK32" s="235"/>
    </row>
    <row r="33" spans="1:37" ht="20.25" customHeight="1">
      <c r="A33" s="1150">
        <f t="shared" si="13"/>
        <v>51730</v>
      </c>
      <c r="B33" s="1150">
        <f t="shared" si="14"/>
        <v>52065</v>
      </c>
      <c r="C33" s="98">
        <v>27</v>
      </c>
      <c r="D33" s="104">
        <f t="shared" si="17"/>
        <v>95990.457663922716</v>
      </c>
      <c r="E33" s="105">
        <f t="shared" si="18"/>
        <v>4511551.5102043673</v>
      </c>
      <c r="F33" s="105">
        <f t="shared" si="19"/>
        <v>71992.84324794203</v>
      </c>
      <c r="G33" s="105">
        <f t="shared" si="20"/>
        <v>47995.228831961358</v>
      </c>
      <c r="H33" s="105">
        <f t="shared" si="21"/>
        <v>71992.84324794203</v>
      </c>
      <c r="I33" s="106">
        <f t="shared" si="11"/>
        <v>4799522.8831961351</v>
      </c>
      <c r="L33" s="168">
        <f>'3 Vol'!F30</f>
        <v>810853.24645308929</v>
      </c>
      <c r="M33" s="233">
        <f>('2 R1 Lig'!E30/'2 R1 Lig'!C30)</f>
        <v>0.99090909090909085</v>
      </c>
      <c r="N33" s="227">
        <f t="shared" si="12"/>
        <v>803481.8533035157</v>
      </c>
      <c r="O33" s="578">
        <v>2.4050699227260219</v>
      </c>
      <c r="P33" s="587">
        <f t="shared" si="22"/>
        <v>3.0226192067586086</v>
      </c>
      <c r="Q33" s="1148"/>
      <c r="R33" s="1179">
        <f t="shared" si="28"/>
        <v>5.4399999999999997E-2</v>
      </c>
      <c r="S33" s="1107">
        <v>0.6</v>
      </c>
      <c r="T33" s="234">
        <f t="shared" si="27"/>
        <v>79997.395472752411</v>
      </c>
      <c r="U33" s="234">
        <f t="shared" si="23"/>
        <v>2370903.201118927</v>
      </c>
      <c r="V33" s="578">
        <v>1.9238646123302778</v>
      </c>
      <c r="W33" s="587">
        <f t="shared" si="16"/>
        <v>3.0226192067586086</v>
      </c>
      <c r="X33" s="234">
        <f t="shared" si="24"/>
        <v>2428619.6820772095</v>
      </c>
      <c r="Y33" s="230">
        <f t="shared" si="7"/>
        <v>4799522.883196136</v>
      </c>
      <c r="AA33" s="241">
        <v>1970255.3594555217</v>
      </c>
      <c r="AB33" s="247">
        <f t="shared" si="25"/>
        <v>2.4298544379935563</v>
      </c>
      <c r="AC33" s="241">
        <v>1561719.8466560734</v>
      </c>
      <c r="AD33" s="241">
        <f t="shared" si="26"/>
        <v>1.9436902529099593</v>
      </c>
      <c r="AE33" s="242">
        <f t="shared" si="10"/>
        <v>3531975.206111595</v>
      </c>
      <c r="AF33" s="243"/>
      <c r="AG33" s="241">
        <v>35319.752061115949</v>
      </c>
      <c r="AK33" s="235"/>
    </row>
    <row r="34" spans="1:37" ht="20.25" customHeight="1">
      <c r="A34" s="1150">
        <f t="shared" si="13"/>
        <v>52096</v>
      </c>
      <c r="B34" s="1150">
        <f t="shared" si="14"/>
        <v>52431</v>
      </c>
      <c r="C34" s="98">
        <v>28</v>
      </c>
      <c r="D34" s="104">
        <f t="shared" si="17"/>
        <v>96092.23830941935</v>
      </c>
      <c r="E34" s="105">
        <f t="shared" si="18"/>
        <v>4516335.2005427089</v>
      </c>
      <c r="F34" s="105">
        <f t="shared" si="19"/>
        <v>72069.178732064509</v>
      </c>
      <c r="G34" s="105">
        <f t="shared" si="20"/>
        <v>48046.119154709675</v>
      </c>
      <c r="H34" s="105">
        <f t="shared" si="21"/>
        <v>72069.178732064509</v>
      </c>
      <c r="I34" s="106">
        <f t="shared" si="11"/>
        <v>4804611.9154709671</v>
      </c>
      <c r="L34" s="168">
        <f>'3 Vol'!F31</f>
        <v>811705.94324942806</v>
      </c>
      <c r="M34" s="233">
        <f>('2 R1 Lig'!E31/'2 R1 Lig'!C31)</f>
        <v>0.99090909090909107</v>
      </c>
      <c r="N34" s="227">
        <f t="shared" si="12"/>
        <v>804326.79831079708</v>
      </c>
      <c r="O34" s="578">
        <v>2.405090863554654</v>
      </c>
      <c r="P34" s="587">
        <f t="shared" si="22"/>
        <v>3.0226455245592803</v>
      </c>
      <c r="Q34" s="1148"/>
      <c r="R34" s="1179">
        <f t="shared" si="28"/>
        <v>5.4399999999999997E-2</v>
      </c>
      <c r="S34" s="1107">
        <v>0.6</v>
      </c>
      <c r="T34" s="234">
        <f t="shared" si="27"/>
        <v>80082.218347311165</v>
      </c>
      <c r="U34" s="234">
        <f t="shared" si="23"/>
        <v>2373417.118273742</v>
      </c>
      <c r="V34" s="578">
        <v>1.9236717441206668</v>
      </c>
      <c r="W34" s="587">
        <f t="shared" si="16"/>
        <v>3.0226455245592803</v>
      </c>
      <c r="X34" s="234">
        <f t="shared" si="24"/>
        <v>2431194.7971972255</v>
      </c>
      <c r="Y34" s="230">
        <f t="shared" si="7"/>
        <v>4804611.9154709671</v>
      </c>
      <c r="AA34" s="241">
        <v>1972344.4615096098</v>
      </c>
      <c r="AB34" s="247">
        <f t="shared" si="25"/>
        <v>2.4298755946197756</v>
      </c>
      <c r="AC34" s="241">
        <v>1563205.4303389804</v>
      </c>
      <c r="AD34" s="241">
        <f t="shared" si="26"/>
        <v>1.9434953971718194</v>
      </c>
      <c r="AE34" s="242">
        <f t="shared" si="10"/>
        <v>3535549.8918485902</v>
      </c>
      <c r="AF34" s="243"/>
      <c r="AG34" s="241">
        <v>35355.498918485901</v>
      </c>
      <c r="AK34" s="235"/>
    </row>
    <row r="35" spans="1:37" ht="20.25" customHeight="1">
      <c r="A35" s="1150">
        <f t="shared" si="13"/>
        <v>52462</v>
      </c>
      <c r="B35" s="1150">
        <f t="shared" si="14"/>
        <v>52797</v>
      </c>
      <c r="C35" s="98">
        <v>29</v>
      </c>
      <c r="D35" s="104">
        <f t="shared" si="17"/>
        <v>96205.327915526723</v>
      </c>
      <c r="E35" s="105">
        <f t="shared" si="18"/>
        <v>4521650.4120297553</v>
      </c>
      <c r="F35" s="105">
        <f t="shared" si="19"/>
        <v>72153.995936645035</v>
      </c>
      <c r="G35" s="105">
        <f t="shared" si="20"/>
        <v>48102.663957763361</v>
      </c>
      <c r="H35" s="105">
        <f t="shared" si="21"/>
        <v>72153.995936645035</v>
      </c>
      <c r="I35" s="106">
        <f t="shared" si="11"/>
        <v>4810266.3957763361</v>
      </c>
      <c r="L35" s="168">
        <f>'3 Vol'!F32</f>
        <v>812597.27826086967</v>
      </c>
      <c r="M35" s="233">
        <f>('2 R1 Lig'!E32/'2 R1 Lig'!C32)</f>
        <v>0.99090909090909118</v>
      </c>
      <c r="N35" s="227">
        <f t="shared" si="12"/>
        <v>805210.03027668013</v>
      </c>
      <c r="O35" s="578">
        <v>2.405280140981894</v>
      </c>
      <c r="P35" s="587">
        <f t="shared" si="22"/>
        <v>3.0228834027105878</v>
      </c>
      <c r="Q35" s="1148"/>
      <c r="R35" s="1179">
        <f t="shared" si="28"/>
        <v>5.4399999999999997E-2</v>
      </c>
      <c r="S35" s="1107">
        <v>0.6</v>
      </c>
      <c r="T35" s="234">
        <f t="shared" si="27"/>
        <v>80176.465985709801</v>
      </c>
      <c r="U35" s="234">
        <f t="shared" si="23"/>
        <v>2376210.3595568701</v>
      </c>
      <c r="V35" s="578">
        <v>1.9236160893174736</v>
      </c>
      <c r="W35" s="587">
        <f t="shared" si="16"/>
        <v>3.0228834027105878</v>
      </c>
      <c r="X35" s="234">
        <f t="shared" si="24"/>
        <v>2434056.036219466</v>
      </c>
      <c r="Y35" s="230">
        <f t="shared" si="7"/>
        <v>4810266.3957763361</v>
      </c>
      <c r="AA35" s="241">
        <v>1974665.6860141521</v>
      </c>
      <c r="AB35" s="247">
        <f t="shared" si="25"/>
        <v>2.4300668225721296</v>
      </c>
      <c r="AC35" s="241">
        <v>1564876.7119822509</v>
      </c>
      <c r="AD35" s="241">
        <f t="shared" si="26"/>
        <v>1.943439168839638</v>
      </c>
      <c r="AE35" s="242">
        <f t="shared" si="10"/>
        <v>3539542.3979964033</v>
      </c>
      <c r="AF35" s="243"/>
      <c r="AG35" s="241">
        <v>35395.423979964035</v>
      </c>
      <c r="AK35" s="235"/>
    </row>
    <row r="36" spans="1:37" ht="20.25" customHeight="1" thickBot="1">
      <c r="A36" s="1150">
        <f t="shared" si="13"/>
        <v>52828</v>
      </c>
      <c r="B36" s="1150">
        <f t="shared" si="14"/>
        <v>53163</v>
      </c>
      <c r="C36" s="445">
        <v>30</v>
      </c>
      <c r="D36" s="104">
        <f t="shared" si="17"/>
        <v>96284.490639801879</v>
      </c>
      <c r="E36" s="105">
        <f t="shared" si="18"/>
        <v>4525371.0600706879</v>
      </c>
      <c r="F36" s="105">
        <f t="shared" si="19"/>
        <v>72213.367979851406</v>
      </c>
      <c r="G36" s="105">
        <f t="shared" si="20"/>
        <v>48142.24531990094</v>
      </c>
      <c r="H36" s="105">
        <f t="shared" si="21"/>
        <v>72213.367979851406</v>
      </c>
      <c r="I36" s="106">
        <f t="shared" si="11"/>
        <v>4814224.5319900941</v>
      </c>
      <c r="L36" s="168">
        <f>'3 Vol'!F33</f>
        <v>813081.58398169349</v>
      </c>
      <c r="M36" s="233">
        <f>M35</f>
        <v>0.99090909090909118</v>
      </c>
      <c r="N36" s="227">
        <f t="shared" si="12"/>
        <v>805689.93321822374</v>
      </c>
      <c r="O36" s="578">
        <v>2.4058254647064632</v>
      </c>
      <c r="P36" s="587">
        <f t="shared" si="22"/>
        <v>3.0235687490900047</v>
      </c>
      <c r="Q36" s="1148"/>
      <c r="R36" s="1179">
        <f t="shared" si="28"/>
        <v>5.4399999999999997E-2</v>
      </c>
      <c r="S36" s="1107">
        <v>0.6</v>
      </c>
      <c r="T36" s="234">
        <f t="shared" si="27"/>
        <v>80242.439332588838</v>
      </c>
      <c r="U36" s="234">
        <f t="shared" si="23"/>
        <v>2378165.6284550596</v>
      </c>
      <c r="V36" s="578">
        <v>1.9240672279671251</v>
      </c>
      <c r="W36" s="587">
        <f t="shared" si="16"/>
        <v>3.0235687490900047</v>
      </c>
      <c r="X36" s="234">
        <f t="shared" si="24"/>
        <v>2436058.903535034</v>
      </c>
      <c r="Y36" s="230">
        <f t="shared" si="7"/>
        <v>4814224.5319900941</v>
      </c>
      <c r="AA36" s="241">
        <v>1976290.5431673317</v>
      </c>
      <c r="AB36" s="247">
        <f t="shared" si="25"/>
        <v>2.4306177659188353</v>
      </c>
      <c r="AC36" s="241">
        <v>1566176.5977047947</v>
      </c>
      <c r="AD36" s="241">
        <f t="shared" si="26"/>
        <v>1.9438949565236665</v>
      </c>
      <c r="AE36" s="242">
        <f t="shared" si="10"/>
        <v>3542467.1408721264</v>
      </c>
      <c r="AF36" s="243"/>
      <c r="AG36" s="241">
        <v>35424.671408721268</v>
      </c>
      <c r="AK36" s="235"/>
    </row>
    <row r="37" spans="1:37" ht="20.25" customHeight="1" thickBot="1">
      <c r="C37" s="413" t="s">
        <v>121</v>
      </c>
      <c r="D37" s="945">
        <f t="shared" ref="D37:I37" si="29">SUM(D5:D36)</f>
        <v>2541535.0829685354</v>
      </c>
      <c r="E37" s="945">
        <f t="shared" si="29"/>
        <v>119452148.89952114</v>
      </c>
      <c r="F37" s="945">
        <f t="shared" si="29"/>
        <v>1906151.3122264009</v>
      </c>
      <c r="G37" s="945">
        <f t="shared" si="29"/>
        <v>1270767.5414842677</v>
      </c>
      <c r="H37" s="945">
        <f t="shared" si="29"/>
        <v>1906151.3122264009</v>
      </c>
      <c r="I37" s="945">
        <f t="shared" si="29"/>
        <v>127076754.14842674</v>
      </c>
      <c r="T37" s="238">
        <f>SUM(T5:T36)</f>
        <v>2098740.4767900258</v>
      </c>
      <c r="U37" s="238">
        <f>SUM(U5:U36)</f>
        <v>67027968.36610277</v>
      </c>
      <c r="V37" s="238"/>
      <c r="X37" s="238">
        <f>SUM(X5:X36)</f>
        <v>60048785.782323979</v>
      </c>
      <c r="Y37" s="238">
        <f>SUM(Y5:Y36)</f>
        <v>127076754.14842677</v>
      </c>
      <c r="AA37" s="245">
        <f>SUM(AA5:AA36)</f>
        <v>57611559.314687014</v>
      </c>
      <c r="AB37" s="247"/>
      <c r="AC37" s="245">
        <f>SUM(AC5:AC36)</f>
        <v>42839889.75021442</v>
      </c>
      <c r="AD37" s="245"/>
      <c r="AE37" s="245">
        <f>SUM(AE5:AE36)</f>
        <v>100451449.06490144</v>
      </c>
      <c r="AF37" s="243"/>
      <c r="AG37" s="245">
        <f>SUM(AG5:AG36)</f>
        <v>1004514.4906490145</v>
      </c>
    </row>
    <row r="38" spans="1:37" ht="21" customHeight="1">
      <c r="AC38" s="237">
        <f>AC37+AA37</f>
        <v>100451449.06490144</v>
      </c>
      <c r="AG38" s="242">
        <f>AE37+AG37</f>
        <v>101455963.55555046</v>
      </c>
    </row>
    <row r="39" spans="1:37" ht="21" customHeight="1">
      <c r="C39" s="159"/>
      <c r="D39" s="159"/>
      <c r="E39" s="159"/>
      <c r="F39" s="159"/>
      <c r="G39" s="159"/>
      <c r="H39" s="159"/>
      <c r="I39" s="159"/>
      <c r="AC39" s="237"/>
    </row>
    <row r="40" spans="1:37" ht="21" customHeight="1">
      <c r="C40" s="159" t="s">
        <v>241</v>
      </c>
      <c r="D40" s="226">
        <v>0.02</v>
      </c>
      <c r="E40" s="226">
        <v>0.92300000000000004</v>
      </c>
      <c r="F40" s="226">
        <v>4.7E-2</v>
      </c>
      <c r="G40" s="226">
        <v>8.0000000000000002E-3</v>
      </c>
      <c r="H40" s="226">
        <v>2E-3</v>
      </c>
      <c r="I40" s="226">
        <f>SUM(D40:H40)</f>
        <v>1</v>
      </c>
    </row>
    <row r="41" spans="1:37" ht="21" customHeight="1">
      <c r="C41" s="159"/>
      <c r="D41" s="225"/>
      <c r="E41" s="225"/>
      <c r="F41" s="225"/>
      <c r="G41" s="225"/>
      <c r="H41" s="225"/>
      <c r="I41" s="225"/>
    </row>
    <row r="42" spans="1:37" ht="21" customHeight="1">
      <c r="C42" s="159"/>
      <c r="D42" s="225"/>
      <c r="E42" s="225"/>
      <c r="F42" s="225"/>
      <c r="G42" s="225"/>
      <c r="H42" s="225"/>
      <c r="I42" s="225"/>
    </row>
    <row r="43" spans="1:37">
      <c r="C43" s="159"/>
      <c r="D43" s="225"/>
      <c r="E43" s="225"/>
      <c r="F43" s="225"/>
      <c r="G43" s="225"/>
      <c r="H43" s="225"/>
      <c r="I43" s="225"/>
    </row>
    <row r="44" spans="1:37">
      <c r="C44" s="159"/>
      <c r="D44" s="225"/>
      <c r="E44" s="225"/>
      <c r="F44" s="225"/>
      <c r="G44" s="225"/>
      <c r="H44" s="225"/>
      <c r="I44" s="225"/>
    </row>
    <row r="45" spans="1:37">
      <c r="C45" s="159"/>
      <c r="D45" s="225"/>
      <c r="E45" s="225"/>
      <c r="F45" s="225"/>
      <c r="G45" s="225"/>
      <c r="H45" s="225"/>
      <c r="I45" s="225"/>
    </row>
    <row r="46" spans="1:37">
      <c r="C46" s="159"/>
      <c r="D46" s="225"/>
      <c r="E46" s="225"/>
      <c r="F46" s="225"/>
      <c r="G46" s="225"/>
      <c r="H46" s="225"/>
      <c r="I46" s="225"/>
    </row>
    <row r="47" spans="1:37">
      <c r="C47" s="159"/>
      <c r="D47" s="159"/>
      <c r="E47" s="159"/>
      <c r="F47" s="159"/>
      <c r="G47" s="159"/>
      <c r="H47" s="159"/>
      <c r="I47" s="159"/>
    </row>
    <row r="48" spans="1:37">
      <c r="C48" s="159"/>
      <c r="D48" s="159"/>
      <c r="E48" s="159"/>
      <c r="F48" s="159"/>
      <c r="G48" s="159"/>
      <c r="H48" s="159"/>
      <c r="I48" s="159"/>
    </row>
    <row r="49" spans="3:9">
      <c r="C49" s="159"/>
      <c r="D49" s="159"/>
      <c r="E49" s="159"/>
      <c r="F49" s="159"/>
      <c r="G49" s="159"/>
      <c r="H49" s="159"/>
      <c r="I49" s="159"/>
    </row>
    <row r="50" spans="3:9">
      <c r="C50" s="159"/>
      <c r="D50" s="159"/>
      <c r="E50" s="159"/>
      <c r="F50" s="159"/>
      <c r="G50" s="159"/>
      <c r="H50" s="159"/>
      <c r="I50" s="159"/>
    </row>
    <row r="51" spans="3:9">
      <c r="C51" s="159"/>
      <c r="D51" s="159"/>
      <c r="E51" s="159"/>
      <c r="F51" s="159"/>
      <c r="G51" s="159"/>
      <c r="H51" s="159"/>
      <c r="I51" s="159"/>
    </row>
    <row r="52" spans="3:9">
      <c r="C52" s="159"/>
      <c r="D52" s="159"/>
      <c r="E52" s="159"/>
      <c r="F52" s="159"/>
      <c r="G52" s="159"/>
      <c r="H52" s="159"/>
      <c r="I52" s="159"/>
    </row>
    <row r="53" spans="3:9">
      <c r="C53" s="159"/>
      <c r="D53" s="159"/>
      <c r="E53" s="159"/>
      <c r="F53" s="159"/>
      <c r="G53" s="159"/>
      <c r="H53" s="159"/>
      <c r="I53" s="159"/>
    </row>
    <row r="54" spans="3:9">
      <c r="C54" s="159"/>
      <c r="D54" s="159"/>
      <c r="E54" s="159"/>
      <c r="F54" s="159"/>
      <c r="G54" s="159"/>
      <c r="H54" s="159"/>
      <c r="I54" s="159"/>
    </row>
    <row r="55" spans="3:9">
      <c r="C55" s="159"/>
      <c r="D55" s="159"/>
      <c r="E55" s="159"/>
      <c r="F55" s="159"/>
      <c r="G55" s="159"/>
      <c r="H55" s="159"/>
      <c r="I55" s="159"/>
    </row>
    <row r="56" spans="3:9">
      <c r="C56" s="159"/>
      <c r="D56" s="159"/>
      <c r="E56" s="159"/>
      <c r="F56" s="159"/>
      <c r="G56" s="159"/>
      <c r="H56" s="159"/>
      <c r="I56" s="159"/>
    </row>
    <row r="57" spans="3:9">
      <c r="C57" s="159"/>
      <c r="D57" s="159"/>
      <c r="E57" s="159"/>
      <c r="F57" s="159"/>
      <c r="G57" s="159"/>
      <c r="H57" s="159"/>
      <c r="I57" s="159"/>
    </row>
    <row r="58" spans="3:9">
      <c r="C58" s="159"/>
      <c r="D58" s="159"/>
      <c r="E58" s="159"/>
      <c r="F58" s="159"/>
      <c r="G58" s="159"/>
      <c r="H58" s="159"/>
      <c r="I58" s="159"/>
    </row>
    <row r="59" spans="3:9">
      <c r="C59" s="159"/>
      <c r="D59" s="159"/>
      <c r="E59" s="159"/>
      <c r="F59" s="159"/>
      <c r="G59" s="159"/>
      <c r="H59" s="159"/>
      <c r="I59" s="159"/>
    </row>
    <row r="60" spans="3:9">
      <c r="C60" s="159"/>
      <c r="D60" s="159"/>
      <c r="E60" s="159"/>
      <c r="F60" s="159"/>
      <c r="G60" s="159"/>
      <c r="H60" s="159"/>
      <c r="I60" s="159"/>
    </row>
    <row r="61" spans="3:9">
      <c r="C61" s="159"/>
      <c r="D61" s="159"/>
      <c r="E61" s="159"/>
      <c r="F61" s="159"/>
      <c r="G61" s="159"/>
      <c r="H61" s="159"/>
      <c r="I61" s="159"/>
    </row>
    <row r="62" spans="3:9">
      <c r="C62" s="159"/>
      <c r="D62" s="159"/>
      <c r="E62" s="159"/>
      <c r="F62" s="159"/>
      <c r="G62" s="159"/>
      <c r="H62" s="159"/>
      <c r="I62" s="159"/>
    </row>
    <row r="63" spans="3:9">
      <c r="C63" s="159"/>
      <c r="D63" s="159"/>
      <c r="E63" s="159"/>
      <c r="F63" s="159"/>
      <c r="G63" s="159"/>
      <c r="H63" s="159"/>
      <c r="I63" s="159"/>
    </row>
    <row r="64" spans="3:9">
      <c r="C64" s="159"/>
      <c r="D64" s="159"/>
      <c r="E64" s="159"/>
      <c r="F64" s="159"/>
      <c r="G64" s="159"/>
      <c r="H64" s="159"/>
      <c r="I64" s="159"/>
    </row>
    <row r="65" spans="3:9">
      <c r="C65" s="159"/>
      <c r="D65" s="159"/>
      <c r="E65" s="159"/>
      <c r="F65" s="159"/>
      <c r="G65" s="159"/>
      <c r="H65" s="159"/>
      <c r="I65" s="159"/>
    </row>
    <row r="66" spans="3:9">
      <c r="C66" s="159"/>
      <c r="D66" s="159"/>
      <c r="E66" s="159"/>
      <c r="F66" s="159"/>
      <c r="G66" s="159"/>
      <c r="H66" s="159"/>
      <c r="I66" s="159"/>
    </row>
    <row r="67" spans="3:9">
      <c r="C67" s="159"/>
      <c r="D67" s="159"/>
      <c r="E67" s="159"/>
      <c r="F67" s="159"/>
      <c r="G67" s="159"/>
      <c r="H67" s="159"/>
      <c r="I67" s="159"/>
    </row>
    <row r="68" spans="3:9">
      <c r="C68" s="159"/>
      <c r="D68" s="159"/>
      <c r="E68" s="159"/>
      <c r="F68" s="159"/>
      <c r="G68" s="159"/>
      <c r="H68" s="159"/>
      <c r="I68" s="159"/>
    </row>
    <row r="69" spans="3:9">
      <c r="C69" s="159"/>
      <c r="D69" s="159"/>
      <c r="E69" s="159"/>
      <c r="F69" s="159"/>
      <c r="G69" s="159"/>
      <c r="H69" s="159"/>
      <c r="I69" s="159"/>
    </row>
    <row r="70" spans="3:9">
      <c r="C70" s="159"/>
      <c r="D70" s="159"/>
      <c r="E70" s="159"/>
      <c r="F70" s="159"/>
      <c r="G70" s="159"/>
      <c r="H70" s="159"/>
      <c r="I70" s="159"/>
    </row>
    <row r="71" spans="3:9">
      <c r="C71" s="159"/>
      <c r="D71" s="159"/>
      <c r="E71" s="159"/>
      <c r="F71" s="159"/>
      <c r="G71" s="159"/>
      <c r="H71" s="159"/>
      <c r="I71" s="159"/>
    </row>
    <row r="72" spans="3:9">
      <c r="C72" s="159"/>
      <c r="D72" s="159"/>
      <c r="E72" s="159"/>
      <c r="F72" s="159"/>
      <c r="G72" s="159"/>
      <c r="H72" s="159"/>
      <c r="I72" s="159"/>
    </row>
    <row r="73" spans="3:9">
      <c r="C73" s="159"/>
      <c r="D73" s="159"/>
      <c r="E73" s="159"/>
      <c r="F73" s="159"/>
      <c r="G73" s="159"/>
      <c r="H73" s="159"/>
      <c r="I73" s="159"/>
    </row>
    <row r="74" spans="3:9">
      <c r="C74" s="159"/>
      <c r="D74" s="159"/>
      <c r="E74" s="159"/>
      <c r="F74" s="159"/>
      <c r="G74" s="159"/>
      <c r="H74" s="159"/>
      <c r="I74" s="159"/>
    </row>
    <row r="75" spans="3:9">
      <c r="C75" s="159"/>
      <c r="D75" s="159"/>
      <c r="E75" s="159"/>
      <c r="F75" s="159"/>
      <c r="G75" s="159"/>
      <c r="H75" s="159"/>
      <c r="I75" s="159"/>
    </row>
    <row r="76" spans="3:9">
      <c r="C76" s="159"/>
      <c r="D76" s="159"/>
      <c r="E76" s="159"/>
      <c r="F76" s="159"/>
      <c r="G76" s="159"/>
      <c r="H76" s="159"/>
      <c r="I76" s="159"/>
    </row>
    <row r="77" spans="3:9">
      <c r="C77" s="159"/>
      <c r="D77" s="159"/>
      <c r="E77" s="159"/>
      <c r="F77" s="159"/>
      <c r="G77" s="159"/>
      <c r="H77" s="159"/>
      <c r="I77" s="159"/>
    </row>
    <row r="78" spans="3:9">
      <c r="C78" s="159"/>
      <c r="D78" s="159"/>
      <c r="E78" s="159"/>
      <c r="F78" s="159"/>
      <c r="G78" s="159"/>
      <c r="H78" s="159"/>
      <c r="I78" s="159"/>
    </row>
    <row r="79" spans="3:9">
      <c r="C79" s="159"/>
      <c r="D79" s="159"/>
      <c r="E79" s="159"/>
      <c r="F79" s="159"/>
      <c r="G79" s="159"/>
      <c r="H79" s="159"/>
      <c r="I79" s="159"/>
    </row>
    <row r="80" spans="3:9">
      <c r="C80" s="159"/>
      <c r="D80" s="159"/>
      <c r="E80" s="159"/>
      <c r="F80" s="159"/>
      <c r="G80" s="159"/>
      <c r="H80" s="159"/>
      <c r="I80" s="159"/>
    </row>
    <row r="81" spans="3:9">
      <c r="C81" s="159"/>
      <c r="D81" s="159"/>
      <c r="E81" s="159"/>
      <c r="F81" s="159"/>
      <c r="G81" s="159"/>
      <c r="H81" s="159"/>
      <c r="I81" s="159"/>
    </row>
    <row r="82" spans="3:9">
      <c r="C82" s="159"/>
      <c r="D82" s="159"/>
      <c r="E82" s="159"/>
      <c r="F82" s="159"/>
      <c r="G82" s="159"/>
      <c r="H82" s="159"/>
      <c r="I82" s="159"/>
    </row>
    <row r="83" spans="3:9">
      <c r="C83" s="159"/>
      <c r="D83" s="159"/>
      <c r="E83" s="159"/>
      <c r="F83" s="159"/>
      <c r="G83" s="159"/>
      <c r="H83" s="159"/>
      <c r="I83" s="159"/>
    </row>
    <row r="84" spans="3:9">
      <c r="C84" s="159"/>
      <c r="D84" s="159"/>
      <c r="E84" s="159"/>
      <c r="F84" s="159"/>
      <c r="G84" s="159"/>
      <c r="H84" s="159"/>
      <c r="I84" s="159"/>
    </row>
    <row r="85" spans="3:9">
      <c r="C85" s="159"/>
      <c r="D85" s="159"/>
      <c r="E85" s="159"/>
      <c r="F85" s="159"/>
      <c r="G85" s="159"/>
      <c r="H85" s="159"/>
      <c r="I85" s="159"/>
    </row>
    <row r="86" spans="3:9">
      <c r="C86" s="159"/>
      <c r="D86" s="159"/>
      <c r="E86" s="159"/>
      <c r="F86" s="159"/>
      <c r="G86" s="159"/>
      <c r="H86" s="159"/>
      <c r="I86" s="159"/>
    </row>
    <row r="87" spans="3:9">
      <c r="C87" s="159"/>
      <c r="D87" s="159"/>
      <c r="E87" s="159"/>
      <c r="F87" s="159"/>
      <c r="G87" s="159"/>
      <c r="H87" s="159"/>
      <c r="I87" s="159"/>
    </row>
    <row r="88" spans="3:9">
      <c r="C88" s="159"/>
      <c r="D88" s="159"/>
      <c r="E88" s="159"/>
      <c r="F88" s="159"/>
      <c r="G88" s="159"/>
      <c r="H88" s="159"/>
      <c r="I88" s="159"/>
    </row>
    <row r="89" spans="3:9">
      <c r="C89" s="159"/>
      <c r="D89" s="159"/>
      <c r="E89" s="159"/>
      <c r="F89" s="159"/>
      <c r="G89" s="159"/>
      <c r="H89" s="159"/>
      <c r="I89" s="159"/>
    </row>
    <row r="90" spans="3:9">
      <c r="C90" s="159"/>
      <c r="D90" s="159"/>
      <c r="E90" s="159"/>
      <c r="F90" s="159"/>
      <c r="G90" s="159"/>
      <c r="H90" s="159"/>
      <c r="I90" s="159"/>
    </row>
    <row r="91" spans="3:9">
      <c r="C91" s="159"/>
      <c r="D91" s="159"/>
      <c r="E91" s="159"/>
      <c r="F91" s="159"/>
      <c r="G91" s="159"/>
      <c r="H91" s="159"/>
      <c r="I91" s="159"/>
    </row>
    <row r="92" spans="3:9">
      <c r="C92" s="159"/>
      <c r="D92" s="159"/>
      <c r="E92" s="159"/>
      <c r="F92" s="159"/>
      <c r="G92" s="159"/>
      <c r="H92" s="159"/>
      <c r="I92" s="159"/>
    </row>
    <row r="93" spans="3:9">
      <c r="C93" s="159"/>
      <c r="D93" s="159"/>
      <c r="E93" s="159"/>
      <c r="F93" s="159"/>
      <c r="G93" s="159"/>
      <c r="H93" s="159"/>
      <c r="I93" s="159"/>
    </row>
    <row r="94" spans="3:9">
      <c r="C94" s="159"/>
      <c r="D94" s="159"/>
      <c r="E94" s="159"/>
      <c r="F94" s="159"/>
      <c r="G94" s="159"/>
      <c r="H94" s="159"/>
      <c r="I94" s="159"/>
    </row>
    <row r="95" spans="3:9">
      <c r="C95" s="159"/>
      <c r="D95" s="159"/>
      <c r="E95" s="159"/>
      <c r="F95" s="159"/>
      <c r="G95" s="159"/>
      <c r="H95" s="159"/>
      <c r="I95" s="159"/>
    </row>
    <row r="96" spans="3:9">
      <c r="C96" s="159"/>
      <c r="D96" s="159"/>
      <c r="E96" s="159"/>
      <c r="F96" s="159"/>
      <c r="G96" s="159"/>
      <c r="H96" s="159"/>
      <c r="I96" s="159"/>
    </row>
    <row r="97" spans="3:9">
      <c r="C97" s="159"/>
      <c r="D97" s="159"/>
      <c r="E97" s="159"/>
      <c r="F97" s="159"/>
      <c r="G97" s="159"/>
      <c r="H97" s="159"/>
      <c r="I97" s="159"/>
    </row>
    <row r="98" spans="3:9">
      <c r="C98" s="159"/>
      <c r="D98" s="159"/>
      <c r="E98" s="159"/>
      <c r="F98" s="159"/>
      <c r="G98" s="159"/>
      <c r="H98" s="159"/>
      <c r="I98" s="159"/>
    </row>
    <row r="99" spans="3:9">
      <c r="C99" s="159"/>
      <c r="D99" s="159"/>
      <c r="E99" s="159"/>
      <c r="F99" s="159"/>
      <c r="G99" s="159"/>
      <c r="H99" s="159"/>
      <c r="I99" s="159"/>
    </row>
    <row r="100" spans="3:9">
      <c r="C100" s="159"/>
      <c r="D100" s="159"/>
      <c r="E100" s="159"/>
      <c r="F100" s="159"/>
      <c r="G100" s="159"/>
      <c r="H100" s="159"/>
      <c r="I100" s="159"/>
    </row>
    <row r="101" spans="3:9">
      <c r="C101" s="159"/>
      <c r="D101" s="159"/>
      <c r="E101" s="159"/>
      <c r="F101" s="159"/>
      <c r="G101" s="159"/>
      <c r="H101" s="159"/>
      <c r="I101" s="159"/>
    </row>
    <row r="102" spans="3:9">
      <c r="C102" s="159"/>
      <c r="D102" s="159"/>
      <c r="E102" s="159"/>
      <c r="F102" s="159"/>
      <c r="G102" s="159"/>
      <c r="H102" s="159"/>
      <c r="I102" s="159"/>
    </row>
    <row r="103" spans="3:9">
      <c r="C103" s="159"/>
      <c r="D103" s="159"/>
      <c r="E103" s="159"/>
      <c r="F103" s="159"/>
      <c r="G103" s="159"/>
      <c r="H103" s="159"/>
      <c r="I103" s="159"/>
    </row>
  </sheetData>
  <mergeCells count="6">
    <mergeCell ref="Q4:R9"/>
    <mergeCell ref="D1:H1"/>
    <mergeCell ref="C3:C4"/>
    <mergeCell ref="D3:I3"/>
    <mergeCell ref="K2:L2"/>
    <mergeCell ref="K1:L1"/>
  </mergeCells>
  <printOptions horizontalCentered="1"/>
  <pageMargins left="0.98425196850393704" right="0.59055118110236227" top="1.9685039370078741" bottom="1.0629921259842521" header="0.39370078740157483" footer="0.39370078740157483"/>
  <pageSetup paperSize="9" scale="71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43">
    <tabColor rgb="FF00B050"/>
  </sheetPr>
  <dimension ref="B1:K69"/>
  <sheetViews>
    <sheetView showGridLines="0" workbookViewId="0">
      <selection activeCell="B20" sqref="B20"/>
    </sheetView>
  </sheetViews>
  <sheetFormatPr defaultColWidth="11.5703125" defaultRowHeight="12.75"/>
  <cols>
    <col min="1" max="1" width="2.7109375" style="2" customWidth="1"/>
    <col min="2" max="2" width="7.85546875" style="2" customWidth="1"/>
    <col min="3" max="6" width="19.140625" style="2" customWidth="1"/>
    <col min="7" max="7" width="2.7109375" style="2" customWidth="1"/>
    <col min="8" max="8" width="11.5703125" style="2" customWidth="1"/>
    <col min="9" max="9" width="14.7109375" style="6" hidden="1" customWidth="1"/>
    <col min="10" max="10" width="12.85546875" style="2" hidden="1" customWidth="1"/>
    <col min="11" max="12" width="0" style="2" hidden="1" customWidth="1"/>
    <col min="13" max="16384" width="11.5703125" style="2"/>
  </cols>
  <sheetData>
    <row r="1" spans="2:11" s="1" customFormat="1" ht="30" customHeight="1">
      <c r="B1" s="1208" t="s">
        <v>51</v>
      </c>
      <c r="C1" s="1208"/>
      <c r="D1" s="1208"/>
      <c r="E1" s="1208"/>
      <c r="F1" s="1208"/>
      <c r="I1" s="139"/>
    </row>
    <row r="2" spans="2:11" ht="20.25" customHeight="1" thickBot="1">
      <c r="B2" s="89" t="s">
        <v>94</v>
      </c>
      <c r="C2" s="41"/>
      <c r="D2" s="41"/>
      <c r="E2" s="41"/>
      <c r="F2" s="134"/>
    </row>
    <row r="3" spans="2:11" ht="48" customHeight="1" thickBot="1">
      <c r="B3" s="413" t="s">
        <v>1</v>
      </c>
      <c r="C3" s="414" t="s">
        <v>17</v>
      </c>
      <c r="D3" s="49" t="s">
        <v>5</v>
      </c>
      <c r="E3" s="49" t="s">
        <v>6</v>
      </c>
      <c r="F3" s="49" t="s">
        <v>7</v>
      </c>
      <c r="I3" s="24" t="s">
        <v>93</v>
      </c>
      <c r="K3" s="24" t="s">
        <v>96</v>
      </c>
    </row>
    <row r="4" spans="2:11" s="3" customFormat="1" ht="20.25" customHeight="1">
      <c r="B4" s="93">
        <v>1</v>
      </c>
      <c r="C4" s="94">
        <v>208</v>
      </c>
      <c r="D4" s="105">
        <v>1</v>
      </c>
      <c r="E4" s="95">
        <f>K4/C4</f>
        <v>5544.7088264749718</v>
      </c>
      <c r="F4" s="106">
        <f>E4*D4</f>
        <v>5544.7088264749718</v>
      </c>
      <c r="I4" s="140">
        <v>5802.4269291229966</v>
      </c>
      <c r="J4" s="141"/>
      <c r="K4" s="143">
        <f>'3 Vol'!C4</f>
        <v>1153299.4359067942</v>
      </c>
    </row>
    <row r="5" spans="2:11" ht="20.25" customHeight="1">
      <c r="B5" s="98">
        <v>2</v>
      </c>
      <c r="C5" s="94">
        <f>C4</f>
        <v>208</v>
      </c>
      <c r="D5" s="107">
        <f>D4</f>
        <v>1</v>
      </c>
      <c r="E5" s="95">
        <f>K5/C5</f>
        <v>5230.5097018178431</v>
      </c>
      <c r="F5" s="106">
        <f>E5*D5</f>
        <v>5230.5097018178431</v>
      </c>
      <c r="I5" s="11">
        <v>5484.5710747436951</v>
      </c>
      <c r="J5" s="142"/>
      <c r="K5" s="143">
        <f>'3 Vol'!C5</f>
        <v>1087946.0179781113</v>
      </c>
    </row>
    <row r="6" spans="2:11" ht="20.25" customHeight="1">
      <c r="B6" s="98">
        <v>3</v>
      </c>
      <c r="C6" s="94">
        <f t="shared" ref="C6:C33" si="0">C5</f>
        <v>208</v>
      </c>
      <c r="D6" s="107">
        <f t="shared" ref="D6:D33" si="1">D5</f>
        <v>1</v>
      </c>
      <c r="E6" s="95">
        <f t="shared" ref="E6:E33" si="2">K6/C6</f>
        <v>4794.6031742049554</v>
      </c>
      <c r="F6" s="106">
        <f t="shared" ref="F6:F33" si="3">E6*D6</f>
        <v>4794.6031742049554</v>
      </c>
      <c r="I6" s="11">
        <v>5027.4912739344709</v>
      </c>
      <c r="J6" s="142"/>
      <c r="K6" s="143">
        <f>'3 Vol'!C6</f>
        <v>997277.46023463074</v>
      </c>
    </row>
    <row r="7" spans="2:11" ht="20.25" customHeight="1">
      <c r="B7" s="98">
        <v>4</v>
      </c>
      <c r="C7" s="94">
        <f t="shared" si="0"/>
        <v>208</v>
      </c>
      <c r="D7" s="107">
        <f t="shared" si="1"/>
        <v>1</v>
      </c>
      <c r="E7" s="95">
        <f t="shared" si="2"/>
        <v>4506.7101483069164</v>
      </c>
      <c r="F7" s="106">
        <f t="shared" si="3"/>
        <v>4506.7101483069164</v>
      </c>
      <c r="I7" s="11">
        <v>4725.6144297118035</v>
      </c>
      <c r="J7" s="142"/>
      <c r="K7" s="143">
        <f>'3 Vol'!C7</f>
        <v>937395.71084783855</v>
      </c>
    </row>
    <row r="8" spans="2:11" s="3" customFormat="1" ht="20.25" customHeight="1">
      <c r="B8" s="98">
        <v>5</v>
      </c>
      <c r="C8" s="94">
        <f t="shared" si="0"/>
        <v>208</v>
      </c>
      <c r="D8" s="107">
        <f t="shared" si="1"/>
        <v>1</v>
      </c>
      <c r="E8" s="95">
        <f t="shared" si="2"/>
        <v>4259.5569813928323</v>
      </c>
      <c r="F8" s="106">
        <f t="shared" si="3"/>
        <v>4259.5569813928323</v>
      </c>
      <c r="I8" s="140">
        <v>4466.4563002818604</v>
      </c>
      <c r="J8" s="141"/>
      <c r="K8" s="143">
        <f>'3 Vol'!C8</f>
        <v>885987.85212970909</v>
      </c>
    </row>
    <row r="9" spans="2:11" ht="20.25" customHeight="1">
      <c r="B9" s="98">
        <v>6</v>
      </c>
      <c r="C9" s="94">
        <f t="shared" si="0"/>
        <v>208</v>
      </c>
      <c r="D9" s="107">
        <f t="shared" si="1"/>
        <v>1</v>
      </c>
      <c r="E9" s="95">
        <f t="shared" si="2"/>
        <v>4214.3378455467964</v>
      </c>
      <c r="F9" s="106">
        <f t="shared" si="3"/>
        <v>4214.3378455467964</v>
      </c>
      <c r="I9" s="11">
        <v>4419.0407368617443</v>
      </c>
      <c r="J9" s="142"/>
      <c r="K9" s="143">
        <f>'3 Vol'!C9</f>
        <v>876582.27187373373</v>
      </c>
    </row>
    <row r="10" spans="2:11" ht="20.25" customHeight="1">
      <c r="B10" s="98">
        <v>7</v>
      </c>
      <c r="C10" s="94">
        <f t="shared" si="0"/>
        <v>208</v>
      </c>
      <c r="D10" s="107">
        <f t="shared" si="1"/>
        <v>1</v>
      </c>
      <c r="E10" s="95">
        <f t="shared" si="2"/>
        <v>4106.6781563966124</v>
      </c>
      <c r="F10" s="106">
        <f t="shared" si="3"/>
        <v>4106.6781563966124</v>
      </c>
      <c r="I10" s="11">
        <v>4306.1516972288036</v>
      </c>
      <c r="J10" s="142"/>
      <c r="K10" s="143">
        <f>'3 Vol'!C10</f>
        <v>854189.05653049541</v>
      </c>
    </row>
    <row r="11" spans="2:11" ht="20.25" customHeight="1">
      <c r="B11" s="98">
        <v>8</v>
      </c>
      <c r="C11" s="94">
        <f t="shared" si="0"/>
        <v>208</v>
      </c>
      <c r="D11" s="107">
        <f t="shared" si="1"/>
        <v>1</v>
      </c>
      <c r="E11" s="95">
        <f t="shared" si="2"/>
        <v>4058.0805635643901</v>
      </c>
      <c r="F11" s="106">
        <f t="shared" si="3"/>
        <v>4058.0805635643901</v>
      </c>
      <c r="I11" s="11">
        <v>4199.2041859975943</v>
      </c>
      <c r="J11" s="142"/>
      <c r="K11" s="143">
        <f>'3 Vol'!C11</f>
        <v>844080.75722139317</v>
      </c>
    </row>
    <row r="12" spans="2:11" s="3" customFormat="1" ht="20.25" customHeight="1">
      <c r="B12" s="98">
        <v>9</v>
      </c>
      <c r="C12" s="94">
        <f t="shared" si="0"/>
        <v>208</v>
      </c>
      <c r="D12" s="107">
        <f t="shared" si="1"/>
        <v>1</v>
      </c>
      <c r="E12" s="95">
        <f t="shared" si="2"/>
        <v>4064.2386794841232</v>
      </c>
      <c r="F12" s="106">
        <f t="shared" si="3"/>
        <v>4064.2386794841232</v>
      </c>
      <c r="I12" s="140">
        <v>4097.7411625218347</v>
      </c>
      <c r="J12" s="141"/>
      <c r="K12" s="143">
        <f>'3 Vol'!C12</f>
        <v>845361.64533269766</v>
      </c>
    </row>
    <row r="13" spans="2:11" s="3" customFormat="1" ht="20.25" customHeight="1">
      <c r="B13" s="98">
        <v>10</v>
      </c>
      <c r="C13" s="94">
        <f t="shared" si="0"/>
        <v>208</v>
      </c>
      <c r="D13" s="107">
        <f t="shared" si="1"/>
        <v>1</v>
      </c>
      <c r="E13" s="95">
        <f t="shared" si="2"/>
        <v>4070.6961595595303</v>
      </c>
      <c r="F13" s="106">
        <f t="shared" si="3"/>
        <v>4070.6961595595303</v>
      </c>
      <c r="I13" s="140">
        <v>4001.645576308114</v>
      </c>
      <c r="J13" s="141"/>
      <c r="K13" s="143">
        <f>'3 Vol'!C13</f>
        <v>846704.80118838232</v>
      </c>
    </row>
    <row r="14" spans="2:11" ht="20.25" customHeight="1">
      <c r="B14" s="98">
        <v>11</v>
      </c>
      <c r="C14" s="94">
        <f t="shared" si="0"/>
        <v>208</v>
      </c>
      <c r="D14" s="107">
        <f t="shared" si="1"/>
        <v>1</v>
      </c>
      <c r="E14" s="95">
        <f t="shared" si="2"/>
        <v>4077.0523387779131</v>
      </c>
      <c r="F14" s="106">
        <f t="shared" si="3"/>
        <v>4077.0523387779131</v>
      </c>
      <c r="I14" s="11">
        <v>4007.8939366510313</v>
      </c>
      <c r="J14" s="142"/>
      <c r="K14" s="143">
        <f>'3 Vol'!C14</f>
        <v>848026.88646580593</v>
      </c>
    </row>
    <row r="15" spans="2:11" ht="20.25" customHeight="1">
      <c r="B15" s="98">
        <v>12</v>
      </c>
      <c r="C15" s="94">
        <f t="shared" si="0"/>
        <v>208</v>
      </c>
      <c r="D15" s="107">
        <f t="shared" si="1"/>
        <v>1</v>
      </c>
      <c r="E15" s="95">
        <f t="shared" si="2"/>
        <v>4082.9110905419707</v>
      </c>
      <c r="F15" s="106">
        <f t="shared" si="3"/>
        <v>4082.9110905419707</v>
      </c>
      <c r="I15" s="11">
        <v>4013.653307323852</v>
      </c>
      <c r="J15" s="142"/>
      <c r="K15" s="143">
        <f>'3 Vol'!C15</f>
        <v>849245.50683272991</v>
      </c>
    </row>
    <row r="16" spans="2:11" ht="20.25" customHeight="1">
      <c r="B16" s="98">
        <v>13</v>
      </c>
      <c r="C16" s="94">
        <f t="shared" si="0"/>
        <v>208</v>
      </c>
      <c r="D16" s="107">
        <f t="shared" si="1"/>
        <v>1</v>
      </c>
      <c r="E16" s="95">
        <f t="shared" si="2"/>
        <v>4088.7698423060274</v>
      </c>
      <c r="F16" s="106">
        <f t="shared" si="3"/>
        <v>4088.7698423060274</v>
      </c>
      <c r="I16" s="11">
        <v>4019.4126779966728</v>
      </c>
      <c r="J16" s="142"/>
      <c r="K16" s="143">
        <f>'3 Vol'!C16</f>
        <v>850464.12719965365</v>
      </c>
    </row>
    <row r="17" spans="2:11" ht="20.25" customHeight="1">
      <c r="B17" s="98">
        <v>14</v>
      </c>
      <c r="C17" s="94">
        <f t="shared" si="0"/>
        <v>208</v>
      </c>
      <c r="D17" s="107">
        <f t="shared" si="1"/>
        <v>1</v>
      </c>
      <c r="E17" s="95">
        <f t="shared" si="2"/>
        <v>4094.6285940700859</v>
      </c>
      <c r="F17" s="106">
        <f t="shared" si="3"/>
        <v>4094.6285940700859</v>
      </c>
      <c r="I17" s="11">
        <v>4025.1720486694926</v>
      </c>
      <c r="J17" s="142"/>
      <c r="K17" s="143">
        <f>'3 Vol'!C17</f>
        <v>851682.74756657786</v>
      </c>
    </row>
    <row r="18" spans="2:11" ht="20.25" customHeight="1">
      <c r="B18" s="98">
        <v>15</v>
      </c>
      <c r="C18" s="94">
        <f t="shared" si="0"/>
        <v>208</v>
      </c>
      <c r="D18" s="107">
        <f t="shared" si="1"/>
        <v>1</v>
      </c>
      <c r="E18" s="95">
        <f t="shared" si="2"/>
        <v>4100.4873458341435</v>
      </c>
      <c r="F18" s="106">
        <f t="shared" si="3"/>
        <v>4100.4873458341435</v>
      </c>
      <c r="I18" s="11">
        <v>4030.9314193423129</v>
      </c>
      <c r="J18" s="142"/>
      <c r="K18" s="143">
        <f>'3 Vol'!C18</f>
        <v>852901.36793350184</v>
      </c>
    </row>
    <row r="19" spans="2:11" ht="20.25" customHeight="1">
      <c r="B19" s="98">
        <v>16</v>
      </c>
      <c r="C19" s="94">
        <f t="shared" si="0"/>
        <v>208</v>
      </c>
      <c r="D19" s="107">
        <f t="shared" si="1"/>
        <v>1</v>
      </c>
      <c r="E19" s="95">
        <f t="shared" si="2"/>
        <v>4105.1622562217099</v>
      </c>
      <c r="F19" s="106">
        <f t="shared" si="3"/>
        <v>4105.1622562217099</v>
      </c>
      <c r="I19" s="11">
        <v>4035.5270299550348</v>
      </c>
      <c r="J19" s="142"/>
      <c r="K19" s="143">
        <f>'3 Vol'!C19</f>
        <v>853873.7492941157</v>
      </c>
    </row>
    <row r="20" spans="2:11" ht="20.25" customHeight="1">
      <c r="B20" s="98">
        <v>17</v>
      </c>
      <c r="C20" s="94">
        <f t="shared" si="0"/>
        <v>208</v>
      </c>
      <c r="D20" s="107">
        <f t="shared" si="1"/>
        <v>1</v>
      </c>
      <c r="E20" s="95">
        <f t="shared" si="2"/>
        <v>4109.929390635496</v>
      </c>
      <c r="F20" s="106">
        <f t="shared" si="3"/>
        <v>4109.929390635496</v>
      </c>
      <c r="I20" s="11">
        <v>4040.2133002122246</v>
      </c>
      <c r="J20" s="142"/>
      <c r="K20" s="143">
        <f>'3 Vol'!C20</f>
        <v>854865.31325218326</v>
      </c>
    </row>
    <row r="21" spans="2:11" ht="20.25" customHeight="1">
      <c r="B21" s="98">
        <v>18</v>
      </c>
      <c r="C21" s="94">
        <f t="shared" si="0"/>
        <v>208</v>
      </c>
      <c r="D21" s="107">
        <f t="shared" si="1"/>
        <v>1</v>
      </c>
      <c r="E21" s="95">
        <f t="shared" si="2"/>
        <v>4114.6965250492831</v>
      </c>
      <c r="F21" s="106">
        <f t="shared" si="3"/>
        <v>4114.6965250492831</v>
      </c>
      <c r="I21" s="11">
        <v>4044.899570469413</v>
      </c>
      <c r="J21" s="142"/>
      <c r="K21" s="143">
        <f>'3 Vol'!C21</f>
        <v>855856.87721025094</v>
      </c>
    </row>
    <row r="22" spans="2:11" ht="20.25" customHeight="1">
      <c r="B22" s="98">
        <v>19</v>
      </c>
      <c r="C22" s="94">
        <f t="shared" si="0"/>
        <v>208</v>
      </c>
      <c r="D22" s="107">
        <f t="shared" si="1"/>
        <v>1</v>
      </c>
      <c r="E22" s="95">
        <f t="shared" si="2"/>
        <v>4119.4636594630692</v>
      </c>
      <c r="F22" s="106">
        <f t="shared" si="3"/>
        <v>4119.4636594630692</v>
      </c>
      <c r="I22" s="11">
        <v>4049.5858407265996</v>
      </c>
      <c r="J22" s="142"/>
      <c r="K22" s="143">
        <f>'3 Vol'!C22</f>
        <v>856848.44116831839</v>
      </c>
    </row>
    <row r="23" spans="2:11" ht="20.25" customHeight="1">
      <c r="B23" s="98">
        <v>20</v>
      </c>
      <c r="C23" s="94">
        <f t="shared" si="0"/>
        <v>208</v>
      </c>
      <c r="D23" s="107">
        <f t="shared" si="1"/>
        <v>1</v>
      </c>
      <c r="E23" s="95">
        <f t="shared" si="2"/>
        <v>4124.2307938768554</v>
      </c>
      <c r="F23" s="106">
        <f t="shared" si="3"/>
        <v>4124.2307938768554</v>
      </c>
      <c r="I23" s="11">
        <v>4054.2721109837885</v>
      </c>
      <c r="J23" s="142"/>
      <c r="K23" s="143">
        <f>'3 Vol'!C23</f>
        <v>857840.00512638595</v>
      </c>
    </row>
    <row r="24" spans="2:11" ht="20.25" customHeight="1">
      <c r="B24" s="98">
        <v>21</v>
      </c>
      <c r="C24" s="94">
        <f t="shared" si="0"/>
        <v>208</v>
      </c>
      <c r="D24" s="107">
        <f t="shared" si="1"/>
        <v>1</v>
      </c>
      <c r="E24" s="95">
        <f t="shared" si="2"/>
        <v>4130.0940840563162</v>
      </c>
      <c r="F24" s="106">
        <f t="shared" si="3"/>
        <v>4130.0940840563162</v>
      </c>
      <c r="I24" s="11">
        <v>4060.0359430875806</v>
      </c>
      <c r="J24" s="142"/>
      <c r="K24" s="143">
        <f>'3 Vol'!C24</f>
        <v>859059.56948371383</v>
      </c>
    </row>
    <row r="25" spans="2:11" ht="20.25" customHeight="1">
      <c r="B25" s="98">
        <v>22</v>
      </c>
      <c r="C25" s="94">
        <f t="shared" si="0"/>
        <v>208</v>
      </c>
      <c r="D25" s="107">
        <f t="shared" si="1"/>
        <v>1</v>
      </c>
      <c r="E25" s="95">
        <f t="shared" si="2"/>
        <v>4134.1657277171298</v>
      </c>
      <c r="F25" s="106">
        <f t="shared" si="3"/>
        <v>4134.1657277171298</v>
      </c>
      <c r="I25" s="11">
        <v>4064.0385200928263</v>
      </c>
      <c r="J25" s="142"/>
      <c r="K25" s="143">
        <f>'3 Vol'!C25</f>
        <v>859906.47136516299</v>
      </c>
    </row>
    <row r="26" spans="2:11" ht="20.25" customHeight="1">
      <c r="B26" s="98">
        <v>23</v>
      </c>
      <c r="C26" s="94">
        <f t="shared" si="0"/>
        <v>208</v>
      </c>
      <c r="D26" s="107">
        <f t="shared" si="1"/>
        <v>1</v>
      </c>
      <c r="E26" s="95">
        <f t="shared" si="2"/>
        <v>4138.2373713779434</v>
      </c>
      <c r="F26" s="106">
        <f t="shared" si="3"/>
        <v>4138.2373713779434</v>
      </c>
      <c r="I26" s="11">
        <v>4068.0410970980729</v>
      </c>
      <c r="J26" s="142"/>
      <c r="K26" s="143">
        <f>'3 Vol'!C26</f>
        <v>860753.37324661214</v>
      </c>
    </row>
    <row r="27" spans="2:11" s="3" customFormat="1" ht="20.25" customHeight="1">
      <c r="B27" s="98">
        <v>24</v>
      </c>
      <c r="C27" s="94">
        <f t="shared" si="0"/>
        <v>208</v>
      </c>
      <c r="D27" s="107">
        <f t="shared" si="1"/>
        <v>1</v>
      </c>
      <c r="E27" s="95">
        <f t="shared" si="2"/>
        <v>4142.309015038757</v>
      </c>
      <c r="F27" s="106">
        <f t="shared" si="3"/>
        <v>4142.309015038757</v>
      </c>
      <c r="I27" s="140">
        <v>4072.0436741033182</v>
      </c>
      <c r="J27" s="141"/>
      <c r="K27" s="143">
        <f>'3 Vol'!C27</f>
        <v>861600.27512806142</v>
      </c>
    </row>
    <row r="28" spans="2:11" s="3" customFormat="1" ht="20.25" customHeight="1">
      <c r="B28" s="98">
        <v>25</v>
      </c>
      <c r="C28" s="94">
        <f t="shared" si="0"/>
        <v>208</v>
      </c>
      <c r="D28" s="107">
        <f t="shared" si="1"/>
        <v>1</v>
      </c>
      <c r="E28" s="95">
        <f t="shared" si="2"/>
        <v>4146.3806586995697</v>
      </c>
      <c r="F28" s="106">
        <f t="shared" si="3"/>
        <v>4146.3806586995697</v>
      </c>
      <c r="I28" s="140">
        <v>4076.0462511085643</v>
      </c>
      <c r="J28" s="141"/>
      <c r="K28" s="143">
        <f>'3 Vol'!C28</f>
        <v>862447.17700951046</v>
      </c>
    </row>
    <row r="29" spans="2:11" ht="20.25" customHeight="1">
      <c r="B29" s="98">
        <v>26</v>
      </c>
      <c r="C29" s="94">
        <f t="shared" si="0"/>
        <v>208</v>
      </c>
      <c r="D29" s="107">
        <f t="shared" si="1"/>
        <v>1</v>
      </c>
      <c r="E29" s="95">
        <f t="shared" si="2"/>
        <v>4152.2439488790296</v>
      </c>
      <c r="F29" s="106">
        <f t="shared" si="3"/>
        <v>4152.2439488790296</v>
      </c>
      <c r="I29" s="11">
        <v>4081.8100832123555</v>
      </c>
      <c r="J29" s="142"/>
      <c r="K29" s="143">
        <f>'3 Vol'!C29</f>
        <v>863666.74136683822</v>
      </c>
    </row>
    <row r="30" spans="2:11" s="3" customFormat="1" ht="20.25" customHeight="1">
      <c r="B30" s="98">
        <v>27</v>
      </c>
      <c r="C30" s="94">
        <f t="shared" si="0"/>
        <v>208</v>
      </c>
      <c r="D30" s="107">
        <f t="shared" si="1"/>
        <v>1</v>
      </c>
      <c r="E30" s="95">
        <f t="shared" si="2"/>
        <v>4156.5136558384929</v>
      </c>
      <c r="F30" s="106">
        <f t="shared" si="3"/>
        <v>4156.5136558384929</v>
      </c>
      <c r="I30" s="140">
        <v>4086.0073637994469</v>
      </c>
      <c r="J30" s="141"/>
      <c r="K30" s="143">
        <f>'3 Vol'!C30</f>
        <v>864554.84041440662</v>
      </c>
    </row>
    <row r="31" spans="2:11" s="3" customFormat="1" ht="20.25" customHeight="1">
      <c r="B31" s="98">
        <v>28</v>
      </c>
      <c r="C31" s="94">
        <f t="shared" si="0"/>
        <v>208</v>
      </c>
      <c r="D31" s="107">
        <f t="shared" si="1"/>
        <v>1</v>
      </c>
      <c r="E31" s="95">
        <f t="shared" si="2"/>
        <v>4160.8846636549806</v>
      </c>
      <c r="F31" s="106">
        <f t="shared" si="3"/>
        <v>4160.8846636549806</v>
      </c>
      <c r="I31" s="140">
        <v>4090.3042268929453</v>
      </c>
      <c r="J31" s="141"/>
      <c r="K31" s="143">
        <f>'3 Vol'!C31</f>
        <v>865464.01004023605</v>
      </c>
    </row>
    <row r="32" spans="2:11" s="3" customFormat="1" ht="20.25" customHeight="1">
      <c r="B32" s="98">
        <v>29</v>
      </c>
      <c r="C32" s="94">
        <f t="shared" si="0"/>
        <v>208</v>
      </c>
      <c r="D32" s="107">
        <f t="shared" si="1"/>
        <v>1</v>
      </c>
      <c r="E32" s="95">
        <f t="shared" si="2"/>
        <v>4165.4537347701189</v>
      </c>
      <c r="F32" s="106">
        <f t="shared" si="3"/>
        <v>4165.4537347701189</v>
      </c>
      <c r="I32" s="140">
        <v>4094.7957935682884</v>
      </c>
      <c r="J32" s="141"/>
      <c r="K32" s="143">
        <f>'3 Vol'!C32</f>
        <v>866414.37683218473</v>
      </c>
    </row>
    <row r="33" spans="2:11" s="3" customFormat="1" ht="20.25" customHeight="1" thickBot="1">
      <c r="B33" s="100">
        <v>30</v>
      </c>
      <c r="C33" s="377">
        <f t="shared" si="0"/>
        <v>208</v>
      </c>
      <c r="D33" s="369">
        <f t="shared" si="1"/>
        <v>1</v>
      </c>
      <c r="E33" s="370">
        <f t="shared" si="2"/>
        <v>4167.9363336263359</v>
      </c>
      <c r="F33" s="371">
        <f t="shared" si="3"/>
        <v>4167.9363336263359</v>
      </c>
      <c r="I33" s="140">
        <v>4097.2362804878048</v>
      </c>
      <c r="J33" s="141"/>
      <c r="K33" s="143">
        <f>'3 Vol'!C33</f>
        <v>866930.75739427784</v>
      </c>
    </row>
    <row r="35" spans="2:11">
      <c r="F35" s="9">
        <f>SUM(F4:F34)</f>
        <v>127361.6712671842</v>
      </c>
    </row>
    <row r="36" spans="2:11" ht="13.5" thickBot="1">
      <c r="B36" s="5" t="s">
        <v>94</v>
      </c>
      <c r="F36" s="7"/>
    </row>
    <row r="37" spans="2:11" ht="26.25" thickBot="1">
      <c r="B37" s="38" t="s">
        <v>1</v>
      </c>
      <c r="C37" s="37" t="s">
        <v>17</v>
      </c>
      <c r="D37" s="24" t="s">
        <v>5</v>
      </c>
      <c r="E37" s="24" t="s">
        <v>6</v>
      </c>
      <c r="F37" s="24" t="s">
        <v>7</v>
      </c>
      <c r="I37" s="24" t="s">
        <v>93</v>
      </c>
      <c r="K37" s="24" t="s">
        <v>96</v>
      </c>
    </row>
    <row r="38" spans="2:11">
      <c r="B38" s="31">
        <v>1</v>
      </c>
      <c r="C38" s="145">
        <f>K38/E38</f>
        <v>198.76156132501418</v>
      </c>
      <c r="D38" s="28">
        <v>1</v>
      </c>
      <c r="E38" s="29">
        <f>F38/D38</f>
        <v>5802.4269291229966</v>
      </c>
      <c r="F38" s="30">
        <f>I38</f>
        <v>5802.4269291229966</v>
      </c>
      <c r="G38" s="3"/>
      <c r="H38" s="3"/>
      <c r="I38" s="140">
        <v>5802.4269291229966</v>
      </c>
      <c r="J38" s="141"/>
      <c r="K38" s="143">
        <v>1153299.4359067942</v>
      </c>
    </row>
    <row r="39" spans="2:11">
      <c r="B39" s="25">
        <v>2</v>
      </c>
      <c r="C39" s="145">
        <f t="shared" ref="C39:C67" si="4">K39/E39</f>
        <v>198.36483166169072</v>
      </c>
      <c r="D39" s="18">
        <f>D38</f>
        <v>1</v>
      </c>
      <c r="E39" s="29">
        <f t="shared" ref="E39:E67" si="5">F39/D39</f>
        <v>5484.5710747436951</v>
      </c>
      <c r="F39" s="30">
        <f t="shared" ref="F39:F67" si="6">I39</f>
        <v>5484.5710747436951</v>
      </c>
      <c r="I39" s="11">
        <v>5484.5710747436951</v>
      </c>
      <c r="J39" s="142"/>
      <c r="K39" s="143">
        <v>1087946.0179781113</v>
      </c>
    </row>
    <row r="40" spans="2:11">
      <c r="B40" s="25">
        <v>3</v>
      </c>
      <c r="C40" s="145">
        <f t="shared" si="4"/>
        <v>198.3648316616908</v>
      </c>
      <c r="D40" s="18">
        <f t="shared" ref="D40:D67" si="7">D39</f>
        <v>1</v>
      </c>
      <c r="E40" s="29">
        <f t="shared" si="5"/>
        <v>5027.4912739344709</v>
      </c>
      <c r="F40" s="30">
        <f t="shared" si="6"/>
        <v>5027.4912739344709</v>
      </c>
      <c r="I40" s="11">
        <v>5027.4912739344709</v>
      </c>
      <c r="J40" s="142"/>
      <c r="K40" s="143">
        <v>997277.46023463074</v>
      </c>
    </row>
    <row r="41" spans="2:11">
      <c r="B41" s="25">
        <v>4</v>
      </c>
      <c r="C41" s="145">
        <f t="shared" si="4"/>
        <v>198.36483166169074</v>
      </c>
      <c r="D41" s="18">
        <f t="shared" si="7"/>
        <v>1</v>
      </c>
      <c r="E41" s="29">
        <f t="shared" si="5"/>
        <v>4725.6144297118035</v>
      </c>
      <c r="F41" s="30">
        <f t="shared" si="6"/>
        <v>4725.6144297118035</v>
      </c>
      <c r="I41" s="11">
        <v>4725.6144297118035</v>
      </c>
      <c r="J41" s="142"/>
      <c r="K41" s="143">
        <v>937395.71084783855</v>
      </c>
    </row>
    <row r="42" spans="2:11">
      <c r="B42" s="25">
        <v>5</v>
      </c>
      <c r="C42" s="144">
        <f t="shared" si="4"/>
        <v>198.36483166169069</v>
      </c>
      <c r="D42" s="18">
        <f t="shared" si="7"/>
        <v>1</v>
      </c>
      <c r="E42" s="29">
        <f t="shared" si="5"/>
        <v>4466.4563002818604</v>
      </c>
      <c r="F42" s="30">
        <f t="shared" si="6"/>
        <v>4466.4563002818604</v>
      </c>
      <c r="G42" s="3"/>
      <c r="H42" s="3"/>
      <c r="I42" s="140">
        <v>4466.4563002818604</v>
      </c>
      <c r="J42" s="141"/>
      <c r="K42" s="143">
        <v>885987.85212970909</v>
      </c>
    </row>
    <row r="43" spans="2:11">
      <c r="B43" s="25">
        <v>6</v>
      </c>
      <c r="C43" s="144">
        <f t="shared" si="4"/>
        <v>198.36483166169074</v>
      </c>
      <c r="D43" s="18">
        <f t="shared" si="7"/>
        <v>1</v>
      </c>
      <c r="E43" s="29">
        <f t="shared" si="5"/>
        <v>4419.0407368617443</v>
      </c>
      <c r="F43" s="30">
        <f t="shared" si="6"/>
        <v>4419.0407368617443</v>
      </c>
      <c r="I43" s="11">
        <v>4419.0407368617443</v>
      </c>
      <c r="J43" s="142"/>
      <c r="K43" s="143">
        <v>876582.27187373373</v>
      </c>
    </row>
    <row r="44" spans="2:11">
      <c r="B44" s="25">
        <v>7</v>
      </c>
      <c r="C44" s="144">
        <f t="shared" si="4"/>
        <v>198.36483166169072</v>
      </c>
      <c r="D44" s="18">
        <f t="shared" si="7"/>
        <v>1</v>
      </c>
      <c r="E44" s="29">
        <f t="shared" si="5"/>
        <v>4306.1516972288036</v>
      </c>
      <c r="F44" s="30">
        <f t="shared" si="6"/>
        <v>4306.1516972288036</v>
      </c>
      <c r="I44" s="11">
        <v>4306.1516972288036</v>
      </c>
      <c r="J44" s="142"/>
      <c r="K44" s="143">
        <v>854189.05653049541</v>
      </c>
    </row>
    <row r="45" spans="2:11">
      <c r="B45" s="25">
        <v>8</v>
      </c>
      <c r="C45" s="144">
        <f t="shared" si="4"/>
        <v>201.00969608384668</v>
      </c>
      <c r="D45" s="18">
        <f t="shared" si="7"/>
        <v>1</v>
      </c>
      <c r="E45" s="29">
        <f t="shared" si="5"/>
        <v>4199.2041859975943</v>
      </c>
      <c r="F45" s="30">
        <f t="shared" si="6"/>
        <v>4199.2041859975943</v>
      </c>
      <c r="I45" s="11">
        <v>4199.2041859975943</v>
      </c>
      <c r="J45" s="142"/>
      <c r="K45" s="143">
        <v>844080.75722139317</v>
      </c>
    </row>
    <row r="46" spans="2:11">
      <c r="B46" s="25">
        <v>9</v>
      </c>
      <c r="C46" s="144">
        <f t="shared" si="4"/>
        <v>206.29942492815837</v>
      </c>
      <c r="D46" s="18">
        <f t="shared" si="7"/>
        <v>1</v>
      </c>
      <c r="E46" s="29">
        <f t="shared" si="5"/>
        <v>4097.7411625218347</v>
      </c>
      <c r="F46" s="30">
        <f t="shared" si="6"/>
        <v>4097.7411625218347</v>
      </c>
      <c r="G46" s="3"/>
      <c r="H46" s="3"/>
      <c r="I46" s="140">
        <v>4097.7411625218347</v>
      </c>
      <c r="J46" s="141"/>
      <c r="K46" s="143">
        <v>845361.64533269766</v>
      </c>
    </row>
    <row r="47" spans="2:11">
      <c r="B47" s="25">
        <v>10</v>
      </c>
      <c r="C47" s="144">
        <f t="shared" si="4"/>
        <v>211.58915377247013</v>
      </c>
      <c r="D47" s="18">
        <f t="shared" si="7"/>
        <v>1</v>
      </c>
      <c r="E47" s="29">
        <f t="shared" si="5"/>
        <v>4001.645576308114</v>
      </c>
      <c r="F47" s="30">
        <f t="shared" si="6"/>
        <v>4001.645576308114</v>
      </c>
      <c r="G47" s="3"/>
      <c r="H47" s="3"/>
      <c r="I47" s="140">
        <v>4001.645576308114</v>
      </c>
      <c r="J47" s="141"/>
      <c r="K47" s="143">
        <v>846704.80118838232</v>
      </c>
    </row>
    <row r="48" spans="2:11">
      <c r="B48" s="25">
        <v>11</v>
      </c>
      <c r="C48" s="144">
        <f t="shared" si="4"/>
        <v>211.58915377247018</v>
      </c>
      <c r="D48" s="18">
        <f t="shared" si="7"/>
        <v>1</v>
      </c>
      <c r="E48" s="29">
        <f t="shared" si="5"/>
        <v>4007.8939366510313</v>
      </c>
      <c r="F48" s="30">
        <f t="shared" si="6"/>
        <v>4007.8939366510313</v>
      </c>
      <c r="I48" s="11">
        <v>4007.8939366510313</v>
      </c>
      <c r="J48" s="142"/>
      <c r="K48" s="143">
        <v>848026.88646580593</v>
      </c>
    </row>
    <row r="49" spans="2:11">
      <c r="B49" s="25">
        <v>12</v>
      </c>
      <c r="C49" s="144">
        <f t="shared" si="4"/>
        <v>211.58915377247015</v>
      </c>
      <c r="D49" s="18">
        <f t="shared" si="7"/>
        <v>1</v>
      </c>
      <c r="E49" s="29">
        <f t="shared" si="5"/>
        <v>4013.653307323852</v>
      </c>
      <c r="F49" s="30">
        <f t="shared" si="6"/>
        <v>4013.653307323852</v>
      </c>
      <c r="I49" s="11">
        <v>4013.653307323852</v>
      </c>
      <c r="J49" s="142"/>
      <c r="K49" s="143">
        <v>849245.50683272991</v>
      </c>
    </row>
    <row r="50" spans="2:11">
      <c r="B50" s="25">
        <v>13</v>
      </c>
      <c r="C50" s="144">
        <f t="shared" si="4"/>
        <v>211.58915377247004</v>
      </c>
      <c r="D50" s="18">
        <f t="shared" si="7"/>
        <v>1</v>
      </c>
      <c r="E50" s="29">
        <f t="shared" si="5"/>
        <v>4019.4126779966728</v>
      </c>
      <c r="F50" s="30">
        <f t="shared" si="6"/>
        <v>4019.4126779966728</v>
      </c>
      <c r="I50" s="11">
        <v>4019.4126779966728</v>
      </c>
      <c r="J50" s="142"/>
      <c r="K50" s="143">
        <v>850464.12719965365</v>
      </c>
    </row>
    <row r="51" spans="2:11">
      <c r="B51" s="25">
        <v>14</v>
      </c>
      <c r="C51" s="144">
        <f t="shared" si="4"/>
        <v>211.58915377247013</v>
      </c>
      <c r="D51" s="18">
        <f t="shared" si="7"/>
        <v>1</v>
      </c>
      <c r="E51" s="29">
        <f t="shared" si="5"/>
        <v>4025.1720486694926</v>
      </c>
      <c r="F51" s="30">
        <f t="shared" si="6"/>
        <v>4025.1720486694926</v>
      </c>
      <c r="I51" s="11">
        <v>4025.1720486694926</v>
      </c>
      <c r="J51" s="142"/>
      <c r="K51" s="143">
        <v>851682.74756657786</v>
      </c>
    </row>
    <row r="52" spans="2:11">
      <c r="B52" s="25">
        <v>15</v>
      </c>
      <c r="C52" s="144">
        <f t="shared" si="4"/>
        <v>211.5891537724701</v>
      </c>
      <c r="D52" s="18">
        <f t="shared" si="7"/>
        <v>1</v>
      </c>
      <c r="E52" s="29">
        <f t="shared" si="5"/>
        <v>4030.9314193423129</v>
      </c>
      <c r="F52" s="30">
        <f t="shared" si="6"/>
        <v>4030.9314193423129</v>
      </c>
      <c r="I52" s="11">
        <v>4030.9314193423129</v>
      </c>
      <c r="J52" s="142"/>
      <c r="K52" s="143">
        <v>852901.36793350184</v>
      </c>
    </row>
    <row r="53" spans="2:11">
      <c r="B53" s="25">
        <v>16</v>
      </c>
      <c r="C53" s="144">
        <f t="shared" si="4"/>
        <v>211.58915377247018</v>
      </c>
      <c r="D53" s="18">
        <f t="shared" si="7"/>
        <v>1</v>
      </c>
      <c r="E53" s="29">
        <f t="shared" si="5"/>
        <v>4035.5270299550348</v>
      </c>
      <c r="F53" s="30">
        <f t="shared" si="6"/>
        <v>4035.5270299550348</v>
      </c>
      <c r="I53" s="11">
        <v>4035.5270299550348</v>
      </c>
      <c r="J53" s="142"/>
      <c r="K53" s="143">
        <v>853873.7492941157</v>
      </c>
    </row>
    <row r="54" spans="2:11">
      <c r="B54" s="25">
        <v>17</v>
      </c>
      <c r="C54" s="144">
        <f t="shared" si="4"/>
        <v>211.5891537724701</v>
      </c>
      <c r="D54" s="18">
        <f t="shared" si="7"/>
        <v>1</v>
      </c>
      <c r="E54" s="29">
        <f t="shared" si="5"/>
        <v>4040.2133002122246</v>
      </c>
      <c r="F54" s="30">
        <f t="shared" si="6"/>
        <v>4040.2133002122246</v>
      </c>
      <c r="I54" s="11">
        <v>4040.2133002122246</v>
      </c>
      <c r="J54" s="142"/>
      <c r="K54" s="143">
        <v>854865.31325218326</v>
      </c>
    </row>
    <row r="55" spans="2:11">
      <c r="B55" s="25">
        <v>18</v>
      </c>
      <c r="C55" s="144">
        <f t="shared" si="4"/>
        <v>211.58915377247013</v>
      </c>
      <c r="D55" s="18">
        <f t="shared" si="7"/>
        <v>1</v>
      </c>
      <c r="E55" s="29">
        <f t="shared" si="5"/>
        <v>4044.899570469413</v>
      </c>
      <c r="F55" s="30">
        <f t="shared" si="6"/>
        <v>4044.899570469413</v>
      </c>
      <c r="I55" s="11">
        <v>4044.899570469413</v>
      </c>
      <c r="J55" s="142"/>
      <c r="K55" s="143">
        <v>855856.87721025094</v>
      </c>
    </row>
    <row r="56" spans="2:11">
      <c r="B56" s="25">
        <v>19</v>
      </c>
      <c r="C56" s="144">
        <f t="shared" si="4"/>
        <v>211.58915377247018</v>
      </c>
      <c r="D56" s="18">
        <f t="shared" si="7"/>
        <v>1</v>
      </c>
      <c r="E56" s="29">
        <f t="shared" si="5"/>
        <v>4049.5858407265996</v>
      </c>
      <c r="F56" s="30">
        <f t="shared" si="6"/>
        <v>4049.5858407265996</v>
      </c>
      <c r="I56" s="11">
        <v>4049.5858407265996</v>
      </c>
      <c r="J56" s="142"/>
      <c r="K56" s="143">
        <v>856848.44116831839</v>
      </c>
    </row>
    <row r="57" spans="2:11">
      <c r="B57" s="25">
        <v>20</v>
      </c>
      <c r="C57" s="144">
        <f t="shared" si="4"/>
        <v>211.58915377247015</v>
      </c>
      <c r="D57" s="18">
        <f t="shared" si="7"/>
        <v>1</v>
      </c>
      <c r="E57" s="29">
        <f t="shared" si="5"/>
        <v>4054.2721109837885</v>
      </c>
      <c r="F57" s="30">
        <f t="shared" si="6"/>
        <v>4054.2721109837885</v>
      </c>
      <c r="I57" s="11">
        <v>4054.2721109837885</v>
      </c>
      <c r="J57" s="142"/>
      <c r="K57" s="143">
        <v>857840.00512638595</v>
      </c>
    </row>
    <row r="58" spans="2:11">
      <c r="B58" s="25">
        <v>21</v>
      </c>
      <c r="C58" s="144">
        <f t="shared" si="4"/>
        <v>211.58915377247013</v>
      </c>
      <c r="D58" s="18">
        <f t="shared" si="7"/>
        <v>1</v>
      </c>
      <c r="E58" s="29">
        <f t="shared" si="5"/>
        <v>4060.0359430875806</v>
      </c>
      <c r="F58" s="30">
        <f t="shared" si="6"/>
        <v>4060.0359430875806</v>
      </c>
      <c r="I58" s="11">
        <v>4060.0359430875806</v>
      </c>
      <c r="J58" s="142"/>
      <c r="K58" s="143">
        <v>859059.56948371383</v>
      </c>
    </row>
    <row r="59" spans="2:11">
      <c r="B59" s="25">
        <v>22</v>
      </c>
      <c r="C59" s="144">
        <f t="shared" si="4"/>
        <v>211.58915377247013</v>
      </c>
      <c r="D59" s="18">
        <f t="shared" si="7"/>
        <v>1</v>
      </c>
      <c r="E59" s="29">
        <f t="shared" si="5"/>
        <v>4064.0385200928263</v>
      </c>
      <c r="F59" s="30">
        <f t="shared" si="6"/>
        <v>4064.0385200928263</v>
      </c>
      <c r="I59" s="11">
        <v>4064.0385200928263</v>
      </c>
      <c r="J59" s="142"/>
      <c r="K59" s="143">
        <v>859906.47136516299</v>
      </c>
    </row>
    <row r="60" spans="2:11">
      <c r="B60" s="25">
        <v>23</v>
      </c>
      <c r="C60" s="144">
        <f t="shared" si="4"/>
        <v>211.5891537724701</v>
      </c>
      <c r="D60" s="18">
        <f t="shared" si="7"/>
        <v>1</v>
      </c>
      <c r="E60" s="29">
        <f t="shared" si="5"/>
        <v>4068.0410970980729</v>
      </c>
      <c r="F60" s="30">
        <f t="shared" si="6"/>
        <v>4068.0410970980729</v>
      </c>
      <c r="I60" s="11">
        <v>4068.0410970980729</v>
      </c>
      <c r="J60" s="142"/>
      <c r="K60" s="143">
        <v>860753.37324661214</v>
      </c>
    </row>
    <row r="61" spans="2:11">
      <c r="B61" s="25">
        <v>24</v>
      </c>
      <c r="C61" s="144">
        <f t="shared" si="4"/>
        <v>211.58915377247018</v>
      </c>
      <c r="D61" s="18">
        <f t="shared" si="7"/>
        <v>1</v>
      </c>
      <c r="E61" s="29">
        <f t="shared" si="5"/>
        <v>4072.0436741033182</v>
      </c>
      <c r="F61" s="30">
        <f t="shared" si="6"/>
        <v>4072.0436741033182</v>
      </c>
      <c r="G61" s="3"/>
      <c r="H61" s="3"/>
      <c r="I61" s="140">
        <v>4072.0436741033182</v>
      </c>
      <c r="J61" s="141"/>
      <c r="K61" s="143">
        <v>861600.27512806142</v>
      </c>
    </row>
    <row r="62" spans="2:11">
      <c r="B62" s="25">
        <v>25</v>
      </c>
      <c r="C62" s="144">
        <f t="shared" si="4"/>
        <v>211.58915377247015</v>
      </c>
      <c r="D62" s="18">
        <f t="shared" si="7"/>
        <v>1</v>
      </c>
      <c r="E62" s="29">
        <f t="shared" si="5"/>
        <v>4076.0462511085643</v>
      </c>
      <c r="F62" s="30">
        <f t="shared" si="6"/>
        <v>4076.0462511085643</v>
      </c>
      <c r="G62" s="3"/>
      <c r="H62" s="3"/>
      <c r="I62" s="140">
        <v>4076.0462511085643</v>
      </c>
      <c r="J62" s="141"/>
      <c r="K62" s="143">
        <v>862447.17700951046</v>
      </c>
    </row>
    <row r="63" spans="2:11">
      <c r="B63" s="25">
        <v>26</v>
      </c>
      <c r="C63" s="144">
        <f t="shared" si="4"/>
        <v>211.58915377247013</v>
      </c>
      <c r="D63" s="18">
        <f t="shared" si="7"/>
        <v>1</v>
      </c>
      <c r="E63" s="29">
        <f t="shared" si="5"/>
        <v>4081.8100832123555</v>
      </c>
      <c r="F63" s="30">
        <f t="shared" si="6"/>
        <v>4081.8100832123555</v>
      </c>
      <c r="I63" s="11">
        <v>4081.8100832123555</v>
      </c>
      <c r="J63" s="142"/>
      <c r="K63" s="143">
        <v>863666.74136683822</v>
      </c>
    </row>
    <row r="64" spans="2:11">
      <c r="B64" s="25">
        <v>27</v>
      </c>
      <c r="C64" s="144">
        <f t="shared" si="4"/>
        <v>211.58915377247015</v>
      </c>
      <c r="D64" s="18">
        <f t="shared" si="7"/>
        <v>1</v>
      </c>
      <c r="E64" s="29">
        <f t="shared" si="5"/>
        <v>4086.0073637994469</v>
      </c>
      <c r="F64" s="30">
        <f t="shared" si="6"/>
        <v>4086.0073637994469</v>
      </c>
      <c r="G64" s="3"/>
      <c r="H64" s="3"/>
      <c r="I64" s="140">
        <v>4086.0073637994469</v>
      </c>
      <c r="J64" s="141"/>
      <c r="K64" s="143">
        <v>864554.84041440662</v>
      </c>
    </row>
    <row r="65" spans="2:11">
      <c r="B65" s="25">
        <v>28</v>
      </c>
      <c r="C65" s="144">
        <f t="shared" si="4"/>
        <v>211.58915377247015</v>
      </c>
      <c r="D65" s="18">
        <f t="shared" si="7"/>
        <v>1</v>
      </c>
      <c r="E65" s="29">
        <f t="shared" si="5"/>
        <v>4090.3042268929453</v>
      </c>
      <c r="F65" s="30">
        <f t="shared" si="6"/>
        <v>4090.3042268929453</v>
      </c>
      <c r="G65" s="3"/>
      <c r="H65" s="3"/>
      <c r="I65" s="140">
        <v>4090.3042268929453</v>
      </c>
      <c r="J65" s="141"/>
      <c r="K65" s="143">
        <v>865464.01004023605</v>
      </c>
    </row>
    <row r="66" spans="2:11">
      <c r="B66" s="25">
        <v>29</v>
      </c>
      <c r="C66" s="144">
        <f t="shared" si="4"/>
        <v>211.58915377247021</v>
      </c>
      <c r="D66" s="18">
        <f t="shared" si="7"/>
        <v>1</v>
      </c>
      <c r="E66" s="29">
        <f t="shared" si="5"/>
        <v>4094.7957935682884</v>
      </c>
      <c r="F66" s="30">
        <f t="shared" si="6"/>
        <v>4094.7957935682884</v>
      </c>
      <c r="G66" s="3"/>
      <c r="H66" s="3"/>
      <c r="I66" s="140">
        <v>4094.7957935682884</v>
      </c>
      <c r="J66" s="141"/>
      <c r="K66" s="143">
        <v>866414.37683218473</v>
      </c>
    </row>
    <row r="67" spans="2:11" ht="13.5" thickBot="1">
      <c r="B67" s="26">
        <v>30</v>
      </c>
      <c r="C67" s="144">
        <f t="shared" si="4"/>
        <v>211.58915377247015</v>
      </c>
      <c r="D67" s="18">
        <f t="shared" si="7"/>
        <v>1</v>
      </c>
      <c r="E67" s="29">
        <f t="shared" si="5"/>
        <v>4097.2362804878048</v>
      </c>
      <c r="F67" s="30">
        <f t="shared" si="6"/>
        <v>4097.2362804878048</v>
      </c>
      <c r="G67" s="3"/>
      <c r="H67" s="3"/>
      <c r="I67" s="140">
        <v>4097.2362804878048</v>
      </c>
      <c r="J67" s="141"/>
      <c r="K67" s="143">
        <v>866930.75739427784</v>
      </c>
    </row>
    <row r="69" spans="2:11">
      <c r="C69" s="14">
        <f>AVERAGE(C38:C67)</f>
        <v>207.98773005096788</v>
      </c>
      <c r="F69" s="9">
        <f>SUM(F38:F68)</f>
        <v>127642.26384249456</v>
      </c>
    </row>
  </sheetData>
  <mergeCells count="1">
    <mergeCell ref="B1:F1"/>
  </mergeCells>
  <printOptions horizontalCentered="1"/>
  <pageMargins left="0.98425196850393704" right="0.59055118110236227" top="1.9685039370078741" bottom="1.0629921259842521" header="0.39370078740157483" footer="0.39370078740157483"/>
  <pageSetup paperSize="9" scale="82" orientation="portrait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17">
    <tabColor rgb="FF7030A0"/>
  </sheetPr>
  <dimension ref="B1:N33"/>
  <sheetViews>
    <sheetView showGridLines="0" workbookViewId="0">
      <selection activeCell="B20" sqref="B20"/>
    </sheetView>
  </sheetViews>
  <sheetFormatPr defaultColWidth="11.5703125" defaultRowHeight="12.75"/>
  <cols>
    <col min="1" max="1" width="2.7109375" style="2" customWidth="1"/>
    <col min="2" max="2" width="7.85546875" style="2" customWidth="1"/>
    <col min="3" max="6" width="19.140625" style="2" customWidth="1"/>
    <col min="7" max="7" width="2.7109375" style="2" customWidth="1"/>
    <col min="8" max="8" width="11.5703125" style="2" customWidth="1"/>
    <col min="9" max="9" width="13" style="2" customWidth="1"/>
    <col min="10" max="12" width="11.5703125" style="2"/>
    <col min="13" max="13" width="13.85546875" style="2" bestFit="1" customWidth="1"/>
    <col min="14" max="16384" width="11.5703125" style="2"/>
  </cols>
  <sheetData>
    <row r="1" spans="2:9" s="1" customFormat="1" ht="30" customHeight="1">
      <c r="B1" s="1208" t="s">
        <v>50</v>
      </c>
      <c r="C1" s="1208"/>
      <c r="D1" s="1208"/>
      <c r="E1" s="1208"/>
      <c r="F1" s="1208"/>
    </row>
    <row r="2" spans="2:9" ht="20.25" customHeight="1" thickBot="1">
      <c r="B2" s="89" t="s">
        <v>95</v>
      </c>
      <c r="C2" s="41"/>
      <c r="D2" s="41"/>
      <c r="E2" s="41"/>
      <c r="F2" s="134"/>
    </row>
    <row r="3" spans="2:9" ht="48" customHeight="1" thickBot="1">
      <c r="B3" s="413" t="s">
        <v>1</v>
      </c>
      <c r="C3" s="414" t="s">
        <v>17</v>
      </c>
      <c r="D3" s="49" t="s">
        <v>5</v>
      </c>
      <c r="E3" s="49" t="s">
        <v>6</v>
      </c>
      <c r="F3" s="49" t="s">
        <v>7</v>
      </c>
      <c r="H3" s="608" t="s">
        <v>404</v>
      </c>
      <c r="I3" s="608" t="s">
        <v>403</v>
      </c>
    </row>
    <row r="4" spans="2:9" s="3" customFormat="1" ht="20.25" customHeight="1">
      <c r="B4" s="93">
        <v>1</v>
      </c>
      <c r="C4" s="604">
        <v>0</v>
      </c>
      <c r="D4" s="597">
        <v>0</v>
      </c>
      <c r="E4" s="597">
        <v>0</v>
      </c>
      <c r="F4" s="598">
        <v>0</v>
      </c>
    </row>
    <row r="5" spans="2:9" ht="20.25" customHeight="1">
      <c r="B5" s="98">
        <v>2</v>
      </c>
      <c r="C5" s="605">
        <v>0</v>
      </c>
      <c r="D5" s="603">
        <v>0</v>
      </c>
      <c r="E5" s="603">
        <f>C5*'3 Vol'!C5</f>
        <v>0</v>
      </c>
      <c r="F5" s="606">
        <f>E5*D5</f>
        <v>0</v>
      </c>
    </row>
    <row r="6" spans="2:9" ht="20.25" customHeight="1">
      <c r="B6" s="98">
        <v>3</v>
      </c>
      <c r="C6" s="605">
        <v>0</v>
      </c>
      <c r="D6" s="603">
        <v>0</v>
      </c>
      <c r="E6" s="603">
        <f>C6*'3 Vol'!C6</f>
        <v>0</v>
      </c>
      <c r="F6" s="606">
        <f>E6*D6</f>
        <v>0</v>
      </c>
    </row>
    <row r="7" spans="2:9" ht="20.25" customHeight="1">
      <c r="B7" s="98">
        <v>4</v>
      </c>
      <c r="C7" s="605">
        <v>0</v>
      </c>
      <c r="D7" s="603">
        <v>0</v>
      </c>
      <c r="E7" s="603">
        <v>0</v>
      </c>
      <c r="F7" s="606">
        <v>0</v>
      </c>
    </row>
    <row r="8" spans="2:9" s="3" customFormat="1" ht="20.25" customHeight="1">
      <c r="B8" s="98">
        <v>5</v>
      </c>
      <c r="C8" s="420">
        <v>3.1736340838077064E-4</v>
      </c>
      <c r="D8" s="107">
        <v>14.2</v>
      </c>
      <c r="E8" s="905">
        <f>I8*C8</f>
        <v>86.6</v>
      </c>
      <c r="F8" s="911">
        <f>D8*E8</f>
        <v>1229.7199999999998</v>
      </c>
      <c r="H8" s="607">
        <v>545746.59657106944</v>
      </c>
      <c r="I8" s="609">
        <f>('4 R1 Vazões'!G9*86.4)*365</f>
        <v>272873.29828553472</v>
      </c>
    </row>
    <row r="9" spans="2:9" ht="20.25" customHeight="1">
      <c r="B9" s="98">
        <v>6</v>
      </c>
      <c r="C9" s="420">
        <f>C8</f>
        <v>3.1736340838077064E-4</v>
      </c>
      <c r="D9" s="107">
        <f>D8</f>
        <v>14.2</v>
      </c>
      <c r="E9" s="905">
        <f>I9*C9</f>
        <v>128.90002221119127</v>
      </c>
      <c r="F9" s="911">
        <f t="shared" ref="F9:F33" si="0">D9*E9</f>
        <v>1830.3803153989159</v>
      </c>
      <c r="H9" s="607">
        <v>560219.38695303735</v>
      </c>
      <c r="I9" s="609">
        <f>('4 R1 Vazões'!G10*86.4)*365</f>
        <v>406159.05554095207</v>
      </c>
    </row>
    <row r="10" spans="2:9" ht="20.25" customHeight="1">
      <c r="B10" s="98">
        <v>7</v>
      </c>
      <c r="C10" s="420">
        <f t="shared" ref="C10:C33" si="1">C9</f>
        <v>3.1736340838077064E-4</v>
      </c>
      <c r="D10" s="107">
        <f t="shared" ref="D10:D33" si="2">D9</f>
        <v>14.2</v>
      </c>
      <c r="E10" s="905">
        <f t="shared" ref="E10:E33" si="3">I10*C10</f>
        <v>153.19508584946701</v>
      </c>
      <c r="F10" s="911">
        <f t="shared" si="0"/>
        <v>2175.3702190624313</v>
      </c>
      <c r="H10" s="607">
        <v>567896.32328324567</v>
      </c>
      <c r="I10" s="609">
        <f>('4 R1 Vazões'!G11*86.4)*365</f>
        <v>482711.87479075877</v>
      </c>
    </row>
    <row r="11" spans="2:9" ht="20.25" customHeight="1">
      <c r="B11" s="98">
        <v>8</v>
      </c>
      <c r="C11" s="420">
        <f t="shared" si="1"/>
        <v>3.1736340838077064E-4</v>
      </c>
      <c r="D11" s="107">
        <f t="shared" si="2"/>
        <v>14.2</v>
      </c>
      <c r="E11" s="905">
        <f t="shared" si="3"/>
        <v>164.47309430438074</v>
      </c>
      <c r="F11" s="911">
        <f t="shared" si="0"/>
        <v>2335.5179391222064</v>
      </c>
      <c r="H11" s="607">
        <v>719789.51312009513</v>
      </c>
      <c r="I11" s="609">
        <f>('4 R1 Vazões'!G12*86.4)*365</f>
        <v>518248.4494464685</v>
      </c>
    </row>
    <row r="12" spans="2:9" s="3" customFormat="1" ht="20.25" customHeight="1">
      <c r="B12" s="98">
        <v>9</v>
      </c>
      <c r="C12" s="420">
        <f t="shared" si="1"/>
        <v>3.1736340838077064E-4</v>
      </c>
      <c r="D12" s="107">
        <f t="shared" si="2"/>
        <v>14.2</v>
      </c>
      <c r="E12" s="905">
        <f t="shared" si="3"/>
        <v>171.58593472981323</v>
      </c>
      <c r="F12" s="911">
        <f t="shared" si="0"/>
        <v>2436.5202731633476</v>
      </c>
      <c r="H12" s="607">
        <v>720880.98459015589</v>
      </c>
      <c r="I12" s="609">
        <f>('4 R1 Vazões'!G13*86.4)*365</f>
        <v>540660.73844261689</v>
      </c>
    </row>
    <row r="13" spans="2:9" s="3" customFormat="1" ht="20.25" customHeight="1">
      <c r="B13" s="98">
        <v>10</v>
      </c>
      <c r="C13" s="420">
        <f t="shared" si="1"/>
        <v>3.1736340838077064E-4</v>
      </c>
      <c r="D13" s="107">
        <f t="shared" si="2"/>
        <v>14.2</v>
      </c>
      <c r="E13" s="905">
        <f t="shared" si="3"/>
        <v>181.02453333678415</v>
      </c>
      <c r="F13" s="911">
        <f t="shared" si="0"/>
        <v>2570.5483733823348</v>
      </c>
      <c r="H13" s="607">
        <v>722027.09214792319</v>
      </c>
      <c r="I13" s="609">
        <f>('4 R1 Vazões'!G14*86.4)*365</f>
        <v>570401.40279685939</v>
      </c>
    </row>
    <row r="14" spans="2:9" ht="20.25" customHeight="1">
      <c r="B14" s="98">
        <v>11</v>
      </c>
      <c r="C14" s="420">
        <f t="shared" si="1"/>
        <v>3.1736340838077064E-4</v>
      </c>
      <c r="D14" s="107">
        <f t="shared" si="2"/>
        <v>14.2</v>
      </c>
      <c r="E14" s="905">
        <f t="shared" si="3"/>
        <v>199.66699569616571</v>
      </c>
      <c r="F14" s="911">
        <f t="shared" si="0"/>
        <v>2835.2713388855532</v>
      </c>
      <c r="H14" s="607">
        <v>723152.97807831503</v>
      </c>
      <c r="I14" s="609">
        <f>('4 R1 Vazões'!G15*86.4)*365</f>
        <v>629143.09092813404</v>
      </c>
    </row>
    <row r="15" spans="2:9" ht="20.25" customHeight="1">
      <c r="B15" s="98">
        <v>12</v>
      </c>
      <c r="C15" s="420">
        <f t="shared" si="1"/>
        <v>3.1736340838077064E-4</v>
      </c>
      <c r="D15" s="107">
        <f t="shared" si="2"/>
        <v>14.2</v>
      </c>
      <c r="E15" s="107">
        <f t="shared" si="3"/>
        <v>229.83134658247042</v>
      </c>
      <c r="F15" s="419">
        <f t="shared" si="0"/>
        <v>3263.6051214710797</v>
      </c>
      <c r="H15" s="607">
        <v>724189.81052384025</v>
      </c>
      <c r="I15" s="607">
        <f>('4 R1 Vazões'!G16*86.4)*365</f>
        <v>724189.81052384025</v>
      </c>
    </row>
    <row r="16" spans="2:9" ht="20.25" customHeight="1">
      <c r="B16" s="98">
        <v>13</v>
      </c>
      <c r="C16" s="420">
        <f t="shared" si="1"/>
        <v>3.1736340838077064E-4</v>
      </c>
      <c r="D16" s="107">
        <f t="shared" si="2"/>
        <v>14.2</v>
      </c>
      <c r="E16" s="107">
        <f t="shared" si="3"/>
        <v>230.16039926130196</v>
      </c>
      <c r="F16" s="419">
        <f t="shared" si="0"/>
        <v>3268.2776695104876</v>
      </c>
      <c r="H16" s="607">
        <v>725226.64296936512</v>
      </c>
      <c r="I16" s="607">
        <f>('4 R1 Vazões'!G17*86.4)*365</f>
        <v>725226.64296936512</v>
      </c>
    </row>
    <row r="17" spans="2:14" ht="20.25" customHeight="1">
      <c r="B17" s="98">
        <v>14</v>
      </c>
      <c r="C17" s="420">
        <f t="shared" si="1"/>
        <v>3.1736340838077064E-4</v>
      </c>
      <c r="D17" s="107">
        <f t="shared" si="2"/>
        <v>14.2</v>
      </c>
      <c r="E17" s="107">
        <f t="shared" si="3"/>
        <v>230.48945194013365</v>
      </c>
      <c r="F17" s="419">
        <f t="shared" si="0"/>
        <v>3272.9502175498978</v>
      </c>
      <c r="H17" s="607">
        <v>726263.47541489045</v>
      </c>
      <c r="I17" s="607">
        <f>('4 R1 Vazões'!G18*86.4)*365</f>
        <v>726263.47541489045</v>
      </c>
    </row>
    <row r="18" spans="2:14" ht="20.25" customHeight="1">
      <c r="B18" s="98">
        <v>15</v>
      </c>
      <c r="C18" s="420">
        <f t="shared" si="1"/>
        <v>3.1736340838077064E-4</v>
      </c>
      <c r="D18" s="107">
        <f t="shared" si="2"/>
        <v>14.2</v>
      </c>
      <c r="E18" s="107">
        <f t="shared" si="3"/>
        <v>230.81850461896531</v>
      </c>
      <c r="F18" s="419">
        <f t="shared" si="0"/>
        <v>3277.6227655893072</v>
      </c>
      <c r="H18" s="607">
        <v>727300.30786041566</v>
      </c>
      <c r="I18" s="607">
        <f>('4 R1 Vazões'!G19*86.4)*365</f>
        <v>727300.30786041566</v>
      </c>
    </row>
    <row r="19" spans="2:14" ht="20.25" customHeight="1">
      <c r="B19" s="98">
        <v>16</v>
      </c>
      <c r="C19" s="420">
        <f t="shared" si="1"/>
        <v>3.1736340838077064E-4</v>
      </c>
      <c r="D19" s="107">
        <f t="shared" si="2"/>
        <v>14.2</v>
      </c>
      <c r="E19" s="107">
        <f t="shared" si="3"/>
        <v>231.0839318366489</v>
      </c>
      <c r="F19" s="419">
        <f t="shared" si="0"/>
        <v>3281.3918320804141</v>
      </c>
      <c r="H19" s="607">
        <v>728136.65890364978</v>
      </c>
      <c r="I19" s="607">
        <f>('4 R1 Vazões'!G20*86.4)*365</f>
        <v>728136.65890364978</v>
      </c>
    </row>
    <row r="20" spans="2:14" ht="20.25" customHeight="1">
      <c r="B20" s="98">
        <v>17</v>
      </c>
      <c r="C20" s="420">
        <f t="shared" si="1"/>
        <v>3.1736340838077064E-4</v>
      </c>
      <c r="D20" s="107">
        <f t="shared" si="2"/>
        <v>14.2</v>
      </c>
      <c r="E20" s="107">
        <f t="shared" si="3"/>
        <v>231.35194869489533</v>
      </c>
      <c r="F20" s="419">
        <f t="shared" si="0"/>
        <v>3285.1976714675134</v>
      </c>
      <c r="H20" s="607">
        <v>728981.16980556468</v>
      </c>
      <c r="I20" s="607">
        <f>('4 R1 Vazões'!G21*86.4)*365</f>
        <v>728981.16980556468</v>
      </c>
    </row>
    <row r="21" spans="2:14" ht="20.25" customHeight="1">
      <c r="B21" s="98">
        <v>18</v>
      </c>
      <c r="C21" s="420">
        <f t="shared" si="1"/>
        <v>3.1736340838077064E-4</v>
      </c>
      <c r="D21" s="107">
        <f t="shared" si="2"/>
        <v>14.2</v>
      </c>
      <c r="E21" s="107">
        <f t="shared" si="3"/>
        <v>231.61996555314181</v>
      </c>
      <c r="F21" s="419">
        <f t="shared" si="0"/>
        <v>3289.0035108546135</v>
      </c>
      <c r="H21" s="607">
        <v>729825.68070747971</v>
      </c>
      <c r="I21" s="607">
        <f>('4 R1 Vazões'!G22*86.4)*365</f>
        <v>729825.68070747971</v>
      </c>
      <c r="M21" s="9"/>
      <c r="N21" s="1131"/>
    </row>
    <row r="22" spans="2:14" ht="20.25" customHeight="1">
      <c r="B22" s="98">
        <v>19</v>
      </c>
      <c r="C22" s="420">
        <f t="shared" si="1"/>
        <v>3.1736340838077064E-4</v>
      </c>
      <c r="D22" s="107">
        <f t="shared" si="2"/>
        <v>14.2</v>
      </c>
      <c r="E22" s="107">
        <f t="shared" si="3"/>
        <v>231.88798241138826</v>
      </c>
      <c r="F22" s="419">
        <f t="shared" si="0"/>
        <v>3292.8093502417132</v>
      </c>
      <c r="H22" s="607">
        <v>730670.19160939474</v>
      </c>
      <c r="I22" s="607">
        <f>('4 R1 Vazões'!G23*86.4)*365</f>
        <v>730670.19160939474</v>
      </c>
      <c r="M22" s="9"/>
    </row>
    <row r="23" spans="2:14" ht="20.25" customHeight="1">
      <c r="B23" s="98">
        <v>20</v>
      </c>
      <c r="C23" s="420">
        <f t="shared" si="1"/>
        <v>3.1736340838077064E-4</v>
      </c>
      <c r="D23" s="107">
        <f t="shared" si="2"/>
        <v>14.2</v>
      </c>
      <c r="E23" s="107">
        <f t="shared" si="3"/>
        <v>232.15599926963475</v>
      </c>
      <c r="F23" s="419">
        <f t="shared" si="0"/>
        <v>3296.6151896288134</v>
      </c>
      <c r="H23" s="607">
        <v>731514.70251130976</v>
      </c>
      <c r="I23" s="607">
        <f>('4 R1 Vazões'!G24*86.4)*365</f>
        <v>731514.70251130976</v>
      </c>
    </row>
    <row r="24" spans="2:14" ht="20.25" customHeight="1">
      <c r="B24" s="98">
        <v>21</v>
      </c>
      <c r="C24" s="420">
        <f t="shared" si="1"/>
        <v>3.1736340838077064E-4</v>
      </c>
      <c r="D24" s="107">
        <f t="shared" si="2"/>
        <v>14.2</v>
      </c>
      <c r="E24" s="107">
        <f t="shared" si="3"/>
        <v>232.48696613673769</v>
      </c>
      <c r="F24" s="419">
        <f t="shared" si="0"/>
        <v>3301.3149191416751</v>
      </c>
      <c r="H24" s="607">
        <v>732557.56649109744</v>
      </c>
      <c r="I24" s="607">
        <f>('4 R1 Vazões'!G25*86.4)*365</f>
        <v>732557.56649109744</v>
      </c>
    </row>
    <row r="25" spans="2:14" ht="20.25" customHeight="1">
      <c r="B25" s="98">
        <v>22</v>
      </c>
      <c r="C25" s="420">
        <f t="shared" si="1"/>
        <v>3.1736340838077064E-4</v>
      </c>
      <c r="D25" s="107">
        <f t="shared" si="2"/>
        <v>14.2</v>
      </c>
      <c r="E25" s="107">
        <f t="shared" si="3"/>
        <v>232.71578879501203</v>
      </c>
      <c r="F25" s="419">
        <f t="shared" si="0"/>
        <v>3304.5642008891705</v>
      </c>
      <c r="H25" s="607">
        <v>733278.57796321961</v>
      </c>
      <c r="I25" s="607">
        <f>('4 R1 Vazões'!G26*86.4)*365</f>
        <v>733278.57796321961</v>
      </c>
    </row>
    <row r="26" spans="2:14" ht="20.25" customHeight="1">
      <c r="B26" s="98">
        <v>23</v>
      </c>
      <c r="C26" s="420">
        <f t="shared" si="1"/>
        <v>3.1736340838077064E-4</v>
      </c>
      <c r="D26" s="107">
        <f t="shared" si="2"/>
        <v>14.2</v>
      </c>
      <c r="E26" s="107">
        <f t="shared" si="3"/>
        <v>232.94461145328651</v>
      </c>
      <c r="F26" s="419">
        <f t="shared" si="0"/>
        <v>3307.8134826366681</v>
      </c>
      <c r="H26" s="607">
        <v>733999.58943534223</v>
      </c>
      <c r="I26" s="607">
        <f>('4 R1 Vazões'!G27*86.4)*365</f>
        <v>733999.58943534223</v>
      </c>
    </row>
    <row r="27" spans="2:14" s="3" customFormat="1" ht="20.25" customHeight="1">
      <c r="B27" s="98">
        <v>24</v>
      </c>
      <c r="C27" s="420">
        <f t="shared" si="1"/>
        <v>3.1736340838077064E-4</v>
      </c>
      <c r="D27" s="107">
        <f t="shared" si="2"/>
        <v>14.2</v>
      </c>
      <c r="E27" s="107">
        <f t="shared" si="3"/>
        <v>233.17343411156091</v>
      </c>
      <c r="F27" s="419">
        <f t="shared" si="0"/>
        <v>3311.0627643841649</v>
      </c>
      <c r="H27" s="607">
        <v>734720.60090746463</v>
      </c>
      <c r="I27" s="607">
        <f>('4 R1 Vazões'!G28*86.4)*365</f>
        <v>734720.60090746463</v>
      </c>
    </row>
    <row r="28" spans="2:14" s="3" customFormat="1" ht="20.25" customHeight="1">
      <c r="B28" s="98">
        <v>25</v>
      </c>
      <c r="C28" s="420">
        <f t="shared" si="1"/>
        <v>3.1736340838077064E-4</v>
      </c>
      <c r="D28" s="107">
        <f t="shared" si="2"/>
        <v>14.2</v>
      </c>
      <c r="E28" s="107">
        <f t="shared" si="3"/>
        <v>233.4022567698353</v>
      </c>
      <c r="F28" s="419">
        <f t="shared" si="0"/>
        <v>3314.3120461316612</v>
      </c>
      <c r="H28" s="607">
        <v>735441.61237958702</v>
      </c>
      <c r="I28" s="607">
        <f>('4 R1 Vazões'!G29*86.4)*365</f>
        <v>735441.61237958702</v>
      </c>
    </row>
    <row r="29" spans="2:14" ht="20.25" customHeight="1">
      <c r="B29" s="98">
        <v>26</v>
      </c>
      <c r="C29" s="420">
        <f t="shared" si="1"/>
        <v>3.1736340838077064E-4</v>
      </c>
      <c r="D29" s="107">
        <f t="shared" si="2"/>
        <v>14.2</v>
      </c>
      <c r="E29" s="107">
        <f t="shared" si="3"/>
        <v>233.73322381165812</v>
      </c>
      <c r="F29" s="419">
        <f t="shared" si="0"/>
        <v>3319.0117781255453</v>
      </c>
      <c r="H29" s="607">
        <v>736484.47690991033</v>
      </c>
      <c r="I29" s="607">
        <f>('4 R1 Vazões'!G30*86.4)*365</f>
        <v>736484.47690991033</v>
      </c>
    </row>
    <row r="30" spans="2:14" s="3" customFormat="1" ht="20.25" customHeight="1">
      <c r="B30" s="98">
        <v>27</v>
      </c>
      <c r="C30" s="420">
        <f t="shared" si="1"/>
        <v>3.1736340838077064E-4</v>
      </c>
      <c r="D30" s="107">
        <f t="shared" si="2"/>
        <v>14.2</v>
      </c>
      <c r="E30" s="107">
        <f t="shared" si="3"/>
        <v>233.97297154655863</v>
      </c>
      <c r="F30" s="419">
        <f t="shared" si="0"/>
        <v>3322.4161959611324</v>
      </c>
      <c r="H30" s="607">
        <v>737239.91288195178</v>
      </c>
      <c r="I30" s="607">
        <f>('4 R1 Vazões'!G31*86.4)*365</f>
        <v>737239.91288195178</v>
      </c>
    </row>
    <row r="31" spans="2:14" s="3" customFormat="1" ht="20.25" customHeight="1">
      <c r="B31" s="98">
        <v>28</v>
      </c>
      <c r="C31" s="420">
        <f t="shared" si="1"/>
        <v>3.1736340838077064E-4</v>
      </c>
      <c r="D31" s="107">
        <f t="shared" si="2"/>
        <v>14.2</v>
      </c>
      <c r="E31" s="107">
        <f t="shared" si="3"/>
        <v>234.21913940658979</v>
      </c>
      <c r="F31" s="419">
        <f t="shared" si="0"/>
        <v>3325.9117795735747</v>
      </c>
      <c r="H31" s="607">
        <v>738015.578423506</v>
      </c>
      <c r="I31" s="607">
        <f>('4 R1 Vazões'!G32*86.4)*365</f>
        <v>738015.578423506</v>
      </c>
    </row>
    <row r="32" spans="2:14" s="3" customFormat="1" ht="20.25" customHeight="1">
      <c r="B32" s="98">
        <v>29</v>
      </c>
      <c r="C32" s="420">
        <f t="shared" si="1"/>
        <v>3.1736340838077064E-4</v>
      </c>
      <c r="D32" s="107">
        <f t="shared" si="2"/>
        <v>14.2</v>
      </c>
      <c r="E32" s="107">
        <f t="shared" si="3"/>
        <v>234.47623190529535</v>
      </c>
      <c r="F32" s="419">
        <f t="shared" si="0"/>
        <v>3329.562493055194</v>
      </c>
      <c r="H32" s="607">
        <v>738825.66708501009</v>
      </c>
      <c r="I32" s="607">
        <f>('4 R1 Vazões'!G33*86.4)*365</f>
        <v>738825.66708501009</v>
      </c>
    </row>
    <row r="33" spans="2:9" s="3" customFormat="1" ht="20.25" customHeight="1" thickBot="1">
      <c r="B33" s="100">
        <v>30</v>
      </c>
      <c r="C33" s="421">
        <f t="shared" si="1"/>
        <v>3.1736340838077064E-4</v>
      </c>
      <c r="D33" s="369">
        <f t="shared" si="2"/>
        <v>14.2</v>
      </c>
      <c r="E33" s="369">
        <f t="shared" si="3"/>
        <v>234.61572675829623</v>
      </c>
      <c r="F33" s="371">
        <f t="shared" si="0"/>
        <v>3331.5433199678064</v>
      </c>
      <c r="H33" s="607">
        <v>739265.21004843048</v>
      </c>
      <c r="I33" s="607">
        <f>('4 R1 Vazões'!G34*86.4)*365</f>
        <v>739265.21004843048</v>
      </c>
    </row>
  </sheetData>
  <mergeCells count="1">
    <mergeCell ref="B1:F1"/>
  </mergeCells>
  <printOptions horizontalCentered="1"/>
  <pageMargins left="0.98425196850393704" right="0.59055118110236227" top="1.9685039370078741" bottom="1.0629921259842521" header="0.39370078740157483" footer="0.39370078740157483"/>
  <pageSetup paperSize="9" scale="82" orientation="portrait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44">
    <tabColor rgb="FF7030A0"/>
    <pageSetUpPr fitToPage="1"/>
  </sheetPr>
  <dimension ref="B1:N28"/>
  <sheetViews>
    <sheetView showGridLines="0" workbookViewId="0">
      <selection activeCell="U28" sqref="U28"/>
    </sheetView>
  </sheetViews>
  <sheetFormatPr defaultRowHeight="12.75"/>
  <cols>
    <col min="1" max="1" width="2.7109375" style="153" customWidth="1"/>
    <col min="2" max="5" width="16.85546875" style="153" customWidth="1"/>
    <col min="6" max="6" width="2.7109375" style="153" customWidth="1"/>
    <col min="7" max="8" width="15.140625" style="153" customWidth="1"/>
    <col min="9" max="9" width="2.7109375" style="153" customWidth="1"/>
    <col min="10" max="11" width="13" style="153" customWidth="1"/>
    <col min="12" max="12" width="2.7109375" style="153" customWidth="1"/>
    <col min="13" max="14" width="16.85546875" customWidth="1"/>
    <col min="15" max="257" width="9.140625" style="153"/>
    <col min="258" max="261" width="16.85546875" style="153" customWidth="1"/>
    <col min="262" max="513" width="9.140625" style="153"/>
    <col min="514" max="517" width="16.85546875" style="153" customWidth="1"/>
    <col min="518" max="769" width="9.140625" style="153"/>
    <col min="770" max="773" width="16.85546875" style="153" customWidth="1"/>
    <col min="774" max="1025" width="9.140625" style="153"/>
    <col min="1026" max="1029" width="16.85546875" style="153" customWidth="1"/>
    <col min="1030" max="1281" width="9.140625" style="153"/>
    <col min="1282" max="1285" width="16.85546875" style="153" customWidth="1"/>
    <col min="1286" max="1537" width="9.140625" style="153"/>
    <col min="1538" max="1541" width="16.85546875" style="153" customWidth="1"/>
    <col min="1542" max="1793" width="9.140625" style="153"/>
    <col min="1794" max="1797" width="16.85546875" style="153" customWidth="1"/>
    <col min="1798" max="2049" width="9.140625" style="153"/>
    <col min="2050" max="2053" width="16.85546875" style="153" customWidth="1"/>
    <col min="2054" max="2305" width="9.140625" style="153"/>
    <col min="2306" max="2309" width="16.85546875" style="153" customWidth="1"/>
    <col min="2310" max="2561" width="9.140625" style="153"/>
    <col min="2562" max="2565" width="16.85546875" style="153" customWidth="1"/>
    <col min="2566" max="2817" width="9.140625" style="153"/>
    <col min="2818" max="2821" width="16.85546875" style="153" customWidth="1"/>
    <col min="2822" max="3073" width="9.140625" style="153"/>
    <col min="3074" max="3077" width="16.85546875" style="153" customWidth="1"/>
    <col min="3078" max="3329" width="9.140625" style="153"/>
    <col min="3330" max="3333" width="16.85546875" style="153" customWidth="1"/>
    <col min="3334" max="3585" width="9.140625" style="153"/>
    <col min="3586" max="3589" width="16.85546875" style="153" customWidth="1"/>
    <col min="3590" max="3841" width="9.140625" style="153"/>
    <col min="3842" max="3845" width="16.85546875" style="153" customWidth="1"/>
    <col min="3846" max="4097" width="9.140625" style="153"/>
    <col min="4098" max="4101" width="16.85546875" style="153" customWidth="1"/>
    <col min="4102" max="4353" width="9.140625" style="153"/>
    <col min="4354" max="4357" width="16.85546875" style="153" customWidth="1"/>
    <col min="4358" max="4609" width="9.140625" style="153"/>
    <col min="4610" max="4613" width="16.85546875" style="153" customWidth="1"/>
    <col min="4614" max="4865" width="9.140625" style="153"/>
    <col min="4866" max="4869" width="16.85546875" style="153" customWidth="1"/>
    <col min="4870" max="5121" width="9.140625" style="153"/>
    <col min="5122" max="5125" width="16.85546875" style="153" customWidth="1"/>
    <col min="5126" max="5377" width="9.140625" style="153"/>
    <col min="5378" max="5381" width="16.85546875" style="153" customWidth="1"/>
    <col min="5382" max="5633" width="9.140625" style="153"/>
    <col min="5634" max="5637" width="16.85546875" style="153" customWidth="1"/>
    <col min="5638" max="5889" width="9.140625" style="153"/>
    <col min="5890" max="5893" width="16.85546875" style="153" customWidth="1"/>
    <col min="5894" max="6145" width="9.140625" style="153"/>
    <col min="6146" max="6149" width="16.85546875" style="153" customWidth="1"/>
    <col min="6150" max="6401" width="9.140625" style="153"/>
    <col min="6402" max="6405" width="16.85546875" style="153" customWidth="1"/>
    <col min="6406" max="6657" width="9.140625" style="153"/>
    <col min="6658" max="6661" width="16.85546875" style="153" customWidth="1"/>
    <col min="6662" max="6913" width="9.140625" style="153"/>
    <col min="6914" max="6917" width="16.85546875" style="153" customWidth="1"/>
    <col min="6918" max="7169" width="9.140625" style="153"/>
    <col min="7170" max="7173" width="16.85546875" style="153" customWidth="1"/>
    <col min="7174" max="7425" width="9.140625" style="153"/>
    <col min="7426" max="7429" width="16.85546875" style="153" customWidth="1"/>
    <col min="7430" max="7681" width="9.140625" style="153"/>
    <col min="7682" max="7685" width="16.85546875" style="153" customWidth="1"/>
    <col min="7686" max="7937" width="9.140625" style="153"/>
    <col min="7938" max="7941" width="16.85546875" style="153" customWidth="1"/>
    <col min="7942" max="8193" width="9.140625" style="153"/>
    <col min="8194" max="8197" width="16.85546875" style="153" customWidth="1"/>
    <col min="8198" max="8449" width="9.140625" style="153"/>
    <col min="8450" max="8453" width="16.85546875" style="153" customWidth="1"/>
    <col min="8454" max="8705" width="9.140625" style="153"/>
    <col min="8706" max="8709" width="16.85546875" style="153" customWidth="1"/>
    <col min="8710" max="8961" width="9.140625" style="153"/>
    <col min="8962" max="8965" width="16.85546875" style="153" customWidth="1"/>
    <col min="8966" max="9217" width="9.140625" style="153"/>
    <col min="9218" max="9221" width="16.85546875" style="153" customWidth="1"/>
    <col min="9222" max="9473" width="9.140625" style="153"/>
    <col min="9474" max="9477" width="16.85546875" style="153" customWidth="1"/>
    <col min="9478" max="9729" width="9.140625" style="153"/>
    <col min="9730" max="9733" width="16.85546875" style="153" customWidth="1"/>
    <col min="9734" max="9985" width="9.140625" style="153"/>
    <col min="9986" max="9989" width="16.85546875" style="153" customWidth="1"/>
    <col min="9990" max="10241" width="9.140625" style="153"/>
    <col min="10242" max="10245" width="16.85546875" style="153" customWidth="1"/>
    <col min="10246" max="10497" width="9.140625" style="153"/>
    <col min="10498" max="10501" width="16.85546875" style="153" customWidth="1"/>
    <col min="10502" max="10753" width="9.140625" style="153"/>
    <col min="10754" max="10757" width="16.85546875" style="153" customWidth="1"/>
    <col min="10758" max="11009" width="9.140625" style="153"/>
    <col min="11010" max="11013" width="16.85546875" style="153" customWidth="1"/>
    <col min="11014" max="11265" width="9.140625" style="153"/>
    <col min="11266" max="11269" width="16.85546875" style="153" customWidth="1"/>
    <col min="11270" max="11521" width="9.140625" style="153"/>
    <col min="11522" max="11525" width="16.85546875" style="153" customWidth="1"/>
    <col min="11526" max="11777" width="9.140625" style="153"/>
    <col min="11778" max="11781" width="16.85546875" style="153" customWidth="1"/>
    <col min="11782" max="12033" width="9.140625" style="153"/>
    <col min="12034" max="12037" width="16.85546875" style="153" customWidth="1"/>
    <col min="12038" max="12289" width="9.140625" style="153"/>
    <col min="12290" max="12293" width="16.85546875" style="153" customWidth="1"/>
    <col min="12294" max="12545" width="9.140625" style="153"/>
    <col min="12546" max="12549" width="16.85546875" style="153" customWidth="1"/>
    <col min="12550" max="12801" width="9.140625" style="153"/>
    <col min="12802" max="12805" width="16.85546875" style="153" customWidth="1"/>
    <col min="12806" max="13057" width="9.140625" style="153"/>
    <col min="13058" max="13061" width="16.85546875" style="153" customWidth="1"/>
    <col min="13062" max="13313" width="9.140625" style="153"/>
    <col min="13314" max="13317" width="16.85546875" style="153" customWidth="1"/>
    <col min="13318" max="13569" width="9.140625" style="153"/>
    <col min="13570" max="13573" width="16.85546875" style="153" customWidth="1"/>
    <col min="13574" max="13825" width="9.140625" style="153"/>
    <col min="13826" max="13829" width="16.85546875" style="153" customWidth="1"/>
    <col min="13830" max="14081" width="9.140625" style="153"/>
    <col min="14082" max="14085" width="16.85546875" style="153" customWidth="1"/>
    <col min="14086" max="14337" width="9.140625" style="153"/>
    <col min="14338" max="14341" width="16.85546875" style="153" customWidth="1"/>
    <col min="14342" max="14593" width="9.140625" style="153"/>
    <col min="14594" max="14597" width="16.85546875" style="153" customWidth="1"/>
    <col min="14598" max="14849" width="9.140625" style="153"/>
    <col min="14850" max="14853" width="16.85546875" style="153" customWidth="1"/>
    <col min="14854" max="15105" width="9.140625" style="153"/>
    <col min="15106" max="15109" width="16.85546875" style="153" customWidth="1"/>
    <col min="15110" max="15361" width="9.140625" style="153"/>
    <col min="15362" max="15365" width="16.85546875" style="153" customWidth="1"/>
    <col min="15366" max="15617" width="9.140625" style="153"/>
    <col min="15618" max="15621" width="16.85546875" style="153" customWidth="1"/>
    <col min="15622" max="15873" width="9.140625" style="153"/>
    <col min="15874" max="15877" width="16.85546875" style="153" customWidth="1"/>
    <col min="15878" max="16129" width="9.140625" style="153"/>
    <col min="16130" max="16133" width="16.85546875" style="153" customWidth="1"/>
    <col min="16134" max="16384" width="9.140625" style="153"/>
  </cols>
  <sheetData>
    <row r="1" spans="2:14" ht="16.5" customHeight="1" thickBot="1">
      <c r="B1" s="1282" t="s">
        <v>505</v>
      </c>
      <c r="C1" s="1282"/>
      <c r="D1" s="1282"/>
      <c r="E1" s="1282"/>
      <c r="F1" s="32"/>
      <c r="G1" s="358">
        <f>1-N3</f>
        <v>1.0199999999999987E-2</v>
      </c>
    </row>
    <row r="2" spans="2:14" ht="15.75" thickBot="1">
      <c r="B2" s="1279" t="s">
        <v>506</v>
      </c>
      <c r="C2" s="1280"/>
      <c r="D2" s="1280"/>
      <c r="E2" s="1281"/>
    </row>
    <row r="3" spans="2:14" ht="15.75" thickBot="1">
      <c r="B3" s="422"/>
      <c r="C3" s="422"/>
      <c r="D3" s="422"/>
      <c r="E3" s="422"/>
      <c r="G3" s="223"/>
      <c r="H3" s="224">
        <v>5.4407999999999998E-2</v>
      </c>
      <c r="J3" s="1285" t="s">
        <v>239</v>
      </c>
      <c r="K3" s="1286"/>
      <c r="M3" s="938" t="s">
        <v>240</v>
      </c>
      <c r="N3" s="424">
        <v>0.98980000000000001</v>
      </c>
    </row>
    <row r="4" spans="2:14" ht="15.75" thickBot="1">
      <c r="B4" s="1287" t="s">
        <v>100</v>
      </c>
      <c r="C4" s="1287" t="s">
        <v>101</v>
      </c>
      <c r="D4" s="1279" t="s">
        <v>102</v>
      </c>
      <c r="E4" s="1281"/>
      <c r="G4" s="1283" t="s">
        <v>102</v>
      </c>
      <c r="H4" s="1284"/>
      <c r="J4" s="1283" t="s">
        <v>102</v>
      </c>
      <c r="K4" s="1284"/>
      <c r="M4" s="1277" t="s">
        <v>102</v>
      </c>
      <c r="N4" s="1278"/>
    </row>
    <row r="5" spans="2:14" ht="31.5" customHeight="1" thickBot="1">
      <c r="B5" s="1289"/>
      <c r="C5" s="1289"/>
      <c r="D5" s="942" t="s">
        <v>103</v>
      </c>
      <c r="E5" s="943" t="s">
        <v>104</v>
      </c>
      <c r="G5" s="221" t="s">
        <v>103</v>
      </c>
      <c r="H5" s="222" t="s">
        <v>104</v>
      </c>
      <c r="J5" s="221" t="s">
        <v>103</v>
      </c>
      <c r="K5" s="222" t="s">
        <v>104</v>
      </c>
      <c r="M5" s="926" t="s">
        <v>103</v>
      </c>
      <c r="N5" s="927" t="s">
        <v>104</v>
      </c>
    </row>
    <row r="6" spans="2:14" ht="15.75" thickBot="1">
      <c r="B6" s="1287" t="s">
        <v>105</v>
      </c>
      <c r="C6" s="939" t="s">
        <v>106</v>
      </c>
      <c r="D6" s="979">
        <f>M6*(1+'TS-R1 FC'!$C$18)</f>
        <v>6.298613071230144</v>
      </c>
      <c r="E6" s="979">
        <f>D6</f>
        <v>6.298613071230144</v>
      </c>
      <c r="G6" s="219">
        <f>(J6*$H$3)+J6</f>
        <v>6.0101256000000003</v>
      </c>
      <c r="H6" s="220">
        <f>(K6*$H$3)+K6</f>
        <v>4.8081004799999993</v>
      </c>
      <c r="J6" s="219">
        <v>5.7</v>
      </c>
      <c r="K6" s="220">
        <v>4.5599999999999996</v>
      </c>
      <c r="M6" s="924">
        <f t="shared" ref="M6:M26" si="0">G6*$N$3</f>
        <v>5.9488223188800005</v>
      </c>
      <c r="N6" s="925">
        <f t="shared" ref="N6:N26" si="1">H6*$N$3</f>
        <v>4.7590578551039995</v>
      </c>
    </row>
    <row r="7" spans="2:14" ht="15.75" thickBot="1">
      <c r="B7" s="1288"/>
      <c r="C7" s="940" t="s">
        <v>107</v>
      </c>
      <c r="D7" s="980">
        <f>M7*(1+'TS-R1 FC'!$C$18)</f>
        <v>0.98346765498154887</v>
      </c>
      <c r="E7" s="980">
        <f>D7</f>
        <v>0.98346765498154887</v>
      </c>
      <c r="G7" s="219">
        <f t="shared" ref="G7:G28" si="2">(J7*$H$3)+J7</f>
        <v>0.93842312000000006</v>
      </c>
      <c r="H7" s="220">
        <f t="shared" ref="H7:H26" si="3">(K7*$H$3)+K7</f>
        <v>0.74862967999999996</v>
      </c>
      <c r="J7" s="154">
        <v>0.89</v>
      </c>
      <c r="K7" s="155">
        <v>0.71</v>
      </c>
      <c r="M7" s="918">
        <f t="shared" si="0"/>
        <v>0.92885120417600009</v>
      </c>
      <c r="N7" s="919">
        <f t="shared" si="1"/>
        <v>0.74099365726400002</v>
      </c>
    </row>
    <row r="8" spans="2:14" ht="15.75" thickBot="1">
      <c r="B8" s="1288"/>
      <c r="C8" s="940" t="s">
        <v>108</v>
      </c>
      <c r="D8" s="980">
        <f>M8*(1+'TS-R1 FC'!$C$18)</f>
        <v>2.1326882855217852</v>
      </c>
      <c r="E8" s="980">
        <f>D8</f>
        <v>2.1326882855217852</v>
      </c>
      <c r="G8" s="219">
        <f t="shared" si="2"/>
        <v>2.0350074399999998</v>
      </c>
      <c r="H8" s="220">
        <f t="shared" si="3"/>
        <v>1.61324424</v>
      </c>
      <c r="J8" s="154">
        <v>1.93</v>
      </c>
      <c r="K8" s="155">
        <v>1.53</v>
      </c>
      <c r="M8" s="918">
        <f t="shared" si="0"/>
        <v>2.0142503641119998</v>
      </c>
      <c r="N8" s="919">
        <f t="shared" si="1"/>
        <v>1.5967891487520001</v>
      </c>
    </row>
    <row r="9" spans="2:14" ht="15.75" thickBot="1">
      <c r="B9" s="1288"/>
      <c r="C9" s="940" t="s">
        <v>109</v>
      </c>
      <c r="D9" s="980">
        <f>M9*(1+'TS-R1 FC'!$C$18)</f>
        <v>3.0277543535387008</v>
      </c>
      <c r="E9" s="980">
        <f>D9</f>
        <v>3.0277543535387008</v>
      </c>
      <c r="G9" s="219">
        <f t="shared" si="2"/>
        <v>2.8890779200000001</v>
      </c>
      <c r="H9" s="220">
        <f t="shared" si="3"/>
        <v>2.3302416799999999</v>
      </c>
      <c r="J9" s="154">
        <v>2.74</v>
      </c>
      <c r="K9" s="155">
        <v>2.21</v>
      </c>
      <c r="M9" s="918">
        <f t="shared" si="0"/>
        <v>2.8596093252160002</v>
      </c>
      <c r="N9" s="919">
        <f t="shared" si="1"/>
        <v>2.3064732148639999</v>
      </c>
    </row>
    <row r="10" spans="2:14" ht="15.75" thickBot="1">
      <c r="B10" s="1289"/>
      <c r="C10" s="941" t="s">
        <v>110</v>
      </c>
      <c r="D10" s="981">
        <f>M10*(1+'TS-R1 FC'!$C$18)</f>
        <v>3.6134148671793982</v>
      </c>
      <c r="E10" s="981">
        <f>D10</f>
        <v>3.6134148671793982</v>
      </c>
      <c r="G10" s="219">
        <f t="shared" si="2"/>
        <v>3.4479141599999998</v>
      </c>
      <c r="H10" s="220">
        <f t="shared" si="3"/>
        <v>2.7625489600000002</v>
      </c>
      <c r="J10" s="154">
        <v>3.27</v>
      </c>
      <c r="K10" s="155">
        <v>2.62</v>
      </c>
      <c r="M10" s="920">
        <f t="shared" si="0"/>
        <v>3.412745435568</v>
      </c>
      <c r="N10" s="921">
        <f t="shared" si="1"/>
        <v>2.734370960608</v>
      </c>
    </row>
    <row r="11" spans="2:14" ht="15.75" thickBot="1">
      <c r="B11" s="1287" t="s">
        <v>111</v>
      </c>
      <c r="C11" s="939" t="s">
        <v>106</v>
      </c>
      <c r="D11" s="980">
        <f>M11*(1+'TS-R1 FC'!$C$18)</f>
        <v>18.586433659314213</v>
      </c>
      <c r="E11" s="980">
        <f t="shared" ref="E11:E26" si="4">D11</f>
        <v>18.586433659314213</v>
      </c>
      <c r="G11" s="219">
        <f>(J11*$H$3)+J11</f>
        <v>17.73514256</v>
      </c>
      <c r="H11" s="220">
        <f t="shared" si="3"/>
        <v>14.21341984</v>
      </c>
      <c r="J11" s="154">
        <v>16.82</v>
      </c>
      <c r="K11" s="155">
        <v>13.48</v>
      </c>
      <c r="M11" s="916">
        <f t="shared" si="0"/>
        <v>17.554244105887999</v>
      </c>
      <c r="N11" s="917">
        <f t="shared" si="1"/>
        <v>14.068442957632</v>
      </c>
    </row>
    <row r="12" spans="2:14" ht="15.75" thickBot="1">
      <c r="B12" s="1288"/>
      <c r="C12" s="940" t="s">
        <v>107</v>
      </c>
      <c r="D12" s="980">
        <f>M12*(1+'TS-R1 FC'!$C$18)</f>
        <v>2.5967966170861119</v>
      </c>
      <c r="E12" s="980">
        <f t="shared" si="4"/>
        <v>2.5967966170861119</v>
      </c>
      <c r="G12" s="219">
        <f t="shared" si="2"/>
        <v>2.4778587999999999</v>
      </c>
      <c r="H12" s="220">
        <f t="shared" si="3"/>
        <v>1.9611988800000002</v>
      </c>
      <c r="J12" s="154">
        <v>2.35</v>
      </c>
      <c r="K12" s="155">
        <v>1.86</v>
      </c>
      <c r="M12" s="918">
        <f t="shared" si="0"/>
        <v>2.45258464024</v>
      </c>
      <c r="N12" s="919">
        <f t="shared" si="1"/>
        <v>1.9411946514240002</v>
      </c>
    </row>
    <row r="13" spans="2:14" ht="15.75" thickBot="1">
      <c r="B13" s="1288"/>
      <c r="C13" s="940" t="s">
        <v>112</v>
      </c>
      <c r="D13" s="980">
        <f>M13*(1+'TS-R1 FC'!$C$18)</f>
        <v>3.9891216117790909</v>
      </c>
      <c r="E13" s="980">
        <f t="shared" si="4"/>
        <v>3.9891216117790909</v>
      </c>
      <c r="G13" s="219">
        <f t="shared" si="2"/>
        <v>3.8064128799999999</v>
      </c>
      <c r="H13" s="220">
        <f t="shared" si="3"/>
        <v>3.0261509600000003</v>
      </c>
      <c r="J13" s="154">
        <v>3.61</v>
      </c>
      <c r="K13" s="155">
        <v>2.87</v>
      </c>
      <c r="M13" s="918">
        <f t="shared" si="0"/>
        <v>3.7675874686239998</v>
      </c>
      <c r="N13" s="919">
        <f t="shared" si="1"/>
        <v>2.9952842202080001</v>
      </c>
    </row>
    <row r="14" spans="2:14" ht="15.75" thickBot="1">
      <c r="B14" s="1288"/>
      <c r="C14" s="944" t="s">
        <v>110</v>
      </c>
      <c r="D14" s="981">
        <f>M14*(1+'TS-R1 FC'!$C$18)</f>
        <v>4.7626354977196348</v>
      </c>
      <c r="E14" s="981">
        <f t="shared" si="4"/>
        <v>4.7626354977196348</v>
      </c>
      <c r="G14" s="219">
        <f t="shared" si="2"/>
        <v>4.5444984799999997</v>
      </c>
      <c r="H14" s="220">
        <f t="shared" si="3"/>
        <v>3.61661944</v>
      </c>
      <c r="J14" s="154">
        <v>4.3099999999999996</v>
      </c>
      <c r="K14" s="155">
        <v>3.43</v>
      </c>
      <c r="M14" s="918">
        <f t="shared" si="0"/>
        <v>4.4981445955039998</v>
      </c>
      <c r="N14" s="919">
        <f t="shared" si="1"/>
        <v>3.579729921712</v>
      </c>
    </row>
    <row r="15" spans="2:14" ht="15.75" thickBot="1">
      <c r="B15" s="1287" t="s">
        <v>113</v>
      </c>
      <c r="C15" s="939" t="s">
        <v>106</v>
      </c>
      <c r="D15" s="982">
        <f>M15*(1+'TS-R1 FC'!$C$18)</f>
        <v>37.327570095816533</v>
      </c>
      <c r="E15" s="982">
        <f t="shared" si="4"/>
        <v>37.327570095816533</v>
      </c>
      <c r="G15" s="219">
        <f t="shared" si="2"/>
        <v>35.617902239999999</v>
      </c>
      <c r="H15" s="220">
        <f t="shared" si="3"/>
        <v>28.479560080000002</v>
      </c>
      <c r="J15" s="154">
        <v>33.78</v>
      </c>
      <c r="K15" s="155">
        <v>27.01</v>
      </c>
      <c r="M15" s="916">
        <f t="shared" si="0"/>
        <v>35.254599637151998</v>
      </c>
      <c r="N15" s="917">
        <f t="shared" si="1"/>
        <v>28.189068567184002</v>
      </c>
    </row>
    <row r="16" spans="2:14" ht="15.75" thickBot="1">
      <c r="B16" s="1288"/>
      <c r="C16" s="940" t="s">
        <v>107</v>
      </c>
      <c r="D16" s="980">
        <f>M16*(1+'TS-R1 FC'!$C$18)</f>
        <v>4.4200793482316802</v>
      </c>
      <c r="E16" s="980">
        <f t="shared" si="4"/>
        <v>4.4200793482316802</v>
      </c>
      <c r="G16" s="219">
        <f t="shared" si="2"/>
        <v>4.217632</v>
      </c>
      <c r="H16" s="220">
        <f t="shared" si="3"/>
        <v>3.3424733600000001</v>
      </c>
      <c r="J16" s="154">
        <v>4</v>
      </c>
      <c r="K16" s="155">
        <v>3.17</v>
      </c>
      <c r="M16" s="918">
        <f t="shared" si="0"/>
        <v>4.1746121536</v>
      </c>
      <c r="N16" s="919">
        <f t="shared" si="1"/>
        <v>3.3083801317280002</v>
      </c>
    </row>
    <row r="17" spans="2:14" ht="15.75" thickBot="1">
      <c r="B17" s="1288"/>
      <c r="C17" s="940" t="s">
        <v>112</v>
      </c>
      <c r="D17" s="980">
        <f>M17*(1+'TS-R1 FC'!$C$18)</f>
        <v>7.3704823131763266</v>
      </c>
      <c r="E17" s="980">
        <f t="shared" si="4"/>
        <v>7.3704823131763266</v>
      </c>
      <c r="G17" s="219">
        <f t="shared" si="2"/>
        <v>7.0329013600000003</v>
      </c>
      <c r="H17" s="220">
        <f t="shared" si="3"/>
        <v>5.6199946399999998</v>
      </c>
      <c r="J17" s="154">
        <v>6.67</v>
      </c>
      <c r="K17" s="155">
        <v>5.33</v>
      </c>
      <c r="M17" s="918">
        <f t="shared" si="0"/>
        <v>6.9611657661280004</v>
      </c>
      <c r="N17" s="919">
        <f t="shared" si="1"/>
        <v>5.5626706946719997</v>
      </c>
    </row>
    <row r="18" spans="2:14" ht="15.75" thickBot="1">
      <c r="B18" s="1288"/>
      <c r="C18" s="944" t="s">
        <v>110</v>
      </c>
      <c r="D18" s="981">
        <f>M18*(1+'TS-R1 FC'!$C$18)</f>
        <v>9.3263674247688453</v>
      </c>
      <c r="E18" s="981">
        <f t="shared" si="4"/>
        <v>9.3263674247688453</v>
      </c>
      <c r="G18" s="219">
        <f t="shared" si="2"/>
        <v>8.8992035200000004</v>
      </c>
      <c r="H18" s="220">
        <f t="shared" si="3"/>
        <v>7.0961658400000003</v>
      </c>
      <c r="J18" s="154">
        <v>8.44</v>
      </c>
      <c r="K18" s="155">
        <v>6.73</v>
      </c>
      <c r="M18" s="918">
        <f t="shared" si="0"/>
        <v>8.8084316440960002</v>
      </c>
      <c r="N18" s="919">
        <f t="shared" si="1"/>
        <v>7.0237849484320005</v>
      </c>
    </row>
    <row r="19" spans="2:14" ht="15.75" thickBot="1">
      <c r="B19" s="1287" t="s">
        <v>114</v>
      </c>
      <c r="C19" s="939" t="s">
        <v>106</v>
      </c>
      <c r="D19" s="982">
        <f>M19*(1+'TS-R1 FC'!$C$18)</f>
        <v>37.327570095816533</v>
      </c>
      <c r="E19" s="982">
        <f t="shared" si="4"/>
        <v>37.327570095816533</v>
      </c>
      <c r="G19" s="219">
        <f t="shared" si="2"/>
        <v>35.617902239999999</v>
      </c>
      <c r="H19" s="220">
        <f t="shared" si="3"/>
        <v>28.479560080000002</v>
      </c>
      <c r="J19" s="154">
        <v>33.78</v>
      </c>
      <c r="K19" s="155">
        <v>27.01</v>
      </c>
      <c r="M19" s="916">
        <f t="shared" si="0"/>
        <v>35.254599637151998</v>
      </c>
      <c r="N19" s="917">
        <f t="shared" si="1"/>
        <v>28.189068567184002</v>
      </c>
    </row>
    <row r="20" spans="2:14" ht="15.75" thickBot="1">
      <c r="B20" s="1288"/>
      <c r="C20" s="940" t="s">
        <v>107</v>
      </c>
      <c r="D20" s="980">
        <f>M20*(1+'TS-R1 FC'!$C$18)</f>
        <v>4.4200793482316802</v>
      </c>
      <c r="E20" s="980">
        <f t="shared" si="4"/>
        <v>4.4200793482316802</v>
      </c>
      <c r="G20" s="219">
        <f t="shared" si="2"/>
        <v>4.217632</v>
      </c>
      <c r="H20" s="220">
        <f t="shared" si="3"/>
        <v>3.3424733600000001</v>
      </c>
      <c r="J20" s="154">
        <v>4</v>
      </c>
      <c r="K20" s="155">
        <v>3.17</v>
      </c>
      <c r="M20" s="918">
        <f t="shared" si="0"/>
        <v>4.1746121536</v>
      </c>
      <c r="N20" s="919">
        <f t="shared" si="1"/>
        <v>3.3083801317280002</v>
      </c>
    </row>
    <row r="21" spans="2:14" ht="15.75" thickBot="1">
      <c r="B21" s="1288"/>
      <c r="C21" s="940" t="s">
        <v>112</v>
      </c>
      <c r="D21" s="980">
        <f>M21*(1+'TS-R1 FC'!$C$18)</f>
        <v>7.3704823131763266</v>
      </c>
      <c r="E21" s="980">
        <f t="shared" si="4"/>
        <v>7.3704823131763266</v>
      </c>
      <c r="G21" s="219">
        <f t="shared" si="2"/>
        <v>7.0329013600000003</v>
      </c>
      <c r="H21" s="220">
        <f t="shared" si="3"/>
        <v>5.6199946399999998</v>
      </c>
      <c r="J21" s="154">
        <v>6.67</v>
      </c>
      <c r="K21" s="155">
        <v>5.33</v>
      </c>
      <c r="M21" s="918">
        <f t="shared" si="0"/>
        <v>6.9611657661280004</v>
      </c>
      <c r="N21" s="919">
        <f t="shared" si="1"/>
        <v>5.5626706946719997</v>
      </c>
    </row>
    <row r="22" spans="2:14" ht="15.75" thickBot="1">
      <c r="B22" s="1288"/>
      <c r="C22" s="944" t="s">
        <v>110</v>
      </c>
      <c r="D22" s="981">
        <f>M22*(1+'TS-R1 FC'!$C$18)</f>
        <v>9.3263674247688453</v>
      </c>
      <c r="E22" s="981">
        <f t="shared" si="4"/>
        <v>9.3263674247688453</v>
      </c>
      <c r="G22" s="219">
        <f t="shared" si="2"/>
        <v>8.8992035200000004</v>
      </c>
      <c r="H22" s="220">
        <f t="shared" si="3"/>
        <v>7.0961658400000003</v>
      </c>
      <c r="J22" s="154">
        <v>8.44</v>
      </c>
      <c r="K22" s="155">
        <v>6.73</v>
      </c>
      <c r="M22" s="918">
        <f t="shared" si="0"/>
        <v>8.8084316440960002</v>
      </c>
      <c r="N22" s="919">
        <f t="shared" si="1"/>
        <v>7.0237849484320005</v>
      </c>
    </row>
    <row r="23" spans="2:14" ht="15.75" thickBot="1">
      <c r="B23" s="1287" t="s">
        <v>115</v>
      </c>
      <c r="C23" s="939" t="s">
        <v>106</v>
      </c>
      <c r="D23" s="982">
        <f>M23*(1+'TS-R1 FC'!$C$18)</f>
        <v>37.327570095816533</v>
      </c>
      <c r="E23" s="982">
        <f t="shared" si="4"/>
        <v>37.327570095816533</v>
      </c>
      <c r="G23" s="219">
        <f t="shared" si="2"/>
        <v>35.617902239999999</v>
      </c>
      <c r="H23" s="220">
        <f t="shared" si="3"/>
        <v>28.479560080000002</v>
      </c>
      <c r="J23" s="154">
        <v>33.78</v>
      </c>
      <c r="K23" s="155">
        <v>27.01</v>
      </c>
      <c r="M23" s="916">
        <f t="shared" si="0"/>
        <v>35.254599637151998</v>
      </c>
      <c r="N23" s="917">
        <f t="shared" si="1"/>
        <v>28.189068567184002</v>
      </c>
    </row>
    <row r="24" spans="2:14" ht="15.75" thickBot="1">
      <c r="B24" s="1288"/>
      <c r="C24" s="940" t="s">
        <v>107</v>
      </c>
      <c r="D24" s="980">
        <f>M24*(1+'TS-R1 FC'!$C$18)</f>
        <v>4.4200793482316802</v>
      </c>
      <c r="E24" s="980">
        <f t="shared" si="4"/>
        <v>4.4200793482316802</v>
      </c>
      <c r="G24" s="219">
        <f t="shared" si="2"/>
        <v>4.217632</v>
      </c>
      <c r="H24" s="220">
        <f t="shared" si="3"/>
        <v>3.3424733600000001</v>
      </c>
      <c r="J24" s="154">
        <v>4</v>
      </c>
      <c r="K24" s="155">
        <v>3.17</v>
      </c>
      <c r="M24" s="918">
        <f t="shared" si="0"/>
        <v>4.1746121536</v>
      </c>
      <c r="N24" s="919">
        <f t="shared" si="1"/>
        <v>3.3083801317280002</v>
      </c>
    </row>
    <row r="25" spans="2:14" ht="15.75" thickBot="1">
      <c r="B25" s="1288"/>
      <c r="C25" s="940" t="s">
        <v>112</v>
      </c>
      <c r="D25" s="980">
        <f>M25*(1+'TS-R1 FC'!$C$18)</f>
        <v>7.3704823131763266</v>
      </c>
      <c r="E25" s="980">
        <f t="shared" si="4"/>
        <v>7.3704823131763266</v>
      </c>
      <c r="G25" s="219">
        <f t="shared" si="2"/>
        <v>7.0329013600000003</v>
      </c>
      <c r="H25" s="220">
        <f t="shared" si="3"/>
        <v>5.6199946399999998</v>
      </c>
      <c r="J25" s="154">
        <v>6.67</v>
      </c>
      <c r="K25" s="155">
        <v>5.33</v>
      </c>
      <c r="M25" s="918">
        <f t="shared" si="0"/>
        <v>6.9611657661280004</v>
      </c>
      <c r="N25" s="919">
        <f t="shared" si="1"/>
        <v>5.5626706946719997</v>
      </c>
    </row>
    <row r="26" spans="2:14" ht="15.75" thickBot="1">
      <c r="B26" s="1289"/>
      <c r="C26" s="944" t="s">
        <v>110</v>
      </c>
      <c r="D26" s="981">
        <f>M26*(1+'TS-R1 FC'!$C$18)</f>
        <v>9.3263674247688453</v>
      </c>
      <c r="E26" s="981">
        <f t="shared" si="4"/>
        <v>9.3263674247688453</v>
      </c>
      <c r="G26" s="219">
        <f t="shared" si="2"/>
        <v>8.8992035200000004</v>
      </c>
      <c r="H26" s="220">
        <f t="shared" si="3"/>
        <v>7.0961658400000003</v>
      </c>
      <c r="J26" s="154">
        <v>8.44</v>
      </c>
      <c r="K26" s="155">
        <v>6.73</v>
      </c>
      <c r="M26" s="922">
        <f t="shared" si="0"/>
        <v>8.8084316440960002</v>
      </c>
      <c r="N26" s="923">
        <f t="shared" si="1"/>
        <v>7.0237849484320005</v>
      </c>
    </row>
    <row r="28" spans="2:14" ht="15" thickBot="1">
      <c r="D28" s="423">
        <f>G28*$N$3</f>
        <v>68.599314214032006</v>
      </c>
      <c r="G28" s="219">
        <f t="shared" si="2"/>
        <v>69.306237840000009</v>
      </c>
      <c r="J28" s="153">
        <v>65.73</v>
      </c>
    </row>
  </sheetData>
  <mergeCells count="14">
    <mergeCell ref="B15:B18"/>
    <mergeCell ref="B19:B22"/>
    <mergeCell ref="B23:B26"/>
    <mergeCell ref="G4:H4"/>
    <mergeCell ref="B4:B5"/>
    <mergeCell ref="C4:C5"/>
    <mergeCell ref="D4:E4"/>
    <mergeCell ref="B6:B10"/>
    <mergeCell ref="B11:B14"/>
    <mergeCell ref="M4:N4"/>
    <mergeCell ref="B2:E2"/>
    <mergeCell ref="B1:E1"/>
    <mergeCell ref="J4:K4"/>
    <mergeCell ref="J3:K3"/>
  </mergeCells>
  <printOptions horizontalCentered="1"/>
  <pageMargins left="0.98425196850393704" right="0.59055118110236227" top="1.9685039370078741" bottom="1.0629921259842521" header="0.39370078740157483" footer="0.39370078740157483"/>
  <pageSetup paperSize="9" orientation="portrait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45">
    <tabColor rgb="FF7030A0"/>
  </sheetPr>
  <dimension ref="B1:J91"/>
  <sheetViews>
    <sheetView showGridLines="0" zoomScale="90" zoomScaleNormal="90" workbookViewId="0">
      <selection activeCell="B20" sqref="B20"/>
    </sheetView>
  </sheetViews>
  <sheetFormatPr defaultRowHeight="12.75"/>
  <cols>
    <col min="1" max="1" width="2.7109375" customWidth="1"/>
    <col min="2" max="2" width="4.7109375" style="13" customWidth="1"/>
    <col min="3" max="3" width="54.140625" customWidth="1"/>
    <col min="4" max="4" width="14" style="13" customWidth="1"/>
    <col min="5" max="5" width="2.7109375" customWidth="1"/>
    <col min="6" max="6" width="16.7109375" style="363" customWidth="1"/>
    <col min="7" max="7" width="2.7109375" customWidth="1"/>
    <col min="8" max="8" width="18.42578125" customWidth="1"/>
    <col min="9" max="9" width="2.7109375" customWidth="1"/>
    <col min="10" max="10" width="14" customWidth="1"/>
  </cols>
  <sheetData>
    <row r="1" spans="2:10" ht="19.5" customHeight="1" thickBot="1">
      <c r="B1" s="1282" t="s">
        <v>507</v>
      </c>
      <c r="C1" s="1282"/>
      <c r="D1" s="1282"/>
    </row>
    <row r="2" spans="2:10" ht="19.5" customHeight="1" thickBot="1">
      <c r="B2" s="1279" t="s">
        <v>506</v>
      </c>
      <c r="C2" s="1280"/>
      <c r="D2" s="1281"/>
      <c r="E2" s="928"/>
      <c r="F2" s="365">
        <v>5.4407999999999998E-2</v>
      </c>
      <c r="H2" s="366" t="s">
        <v>341</v>
      </c>
      <c r="J2" s="914" t="s">
        <v>504</v>
      </c>
    </row>
    <row r="3" spans="2:10" ht="15.75" thickBot="1">
      <c r="B3" s="1293" t="s">
        <v>271</v>
      </c>
      <c r="C3" s="1294"/>
      <c r="D3" s="1295"/>
      <c r="J3" s="915">
        <v>0.98980000000000001</v>
      </c>
    </row>
    <row r="4" spans="2:10" ht="14.25">
      <c r="B4" s="929">
        <v>1</v>
      </c>
      <c r="C4" s="930" t="s">
        <v>272</v>
      </c>
      <c r="D4" s="929"/>
      <c r="F4" s="364"/>
      <c r="H4" s="364"/>
    </row>
    <row r="5" spans="2:10" ht="28.5">
      <c r="B5" s="427"/>
      <c r="C5" s="428" t="s">
        <v>273</v>
      </c>
      <c r="D5" s="913">
        <f>J5*(1+'TS-R1 FC'!$C$18)</f>
        <v>82.876487779344004</v>
      </c>
      <c r="F5" s="364">
        <f>(H5*$F$2)+H5</f>
        <v>79.080600000000004</v>
      </c>
      <c r="H5" s="364">
        <v>75</v>
      </c>
      <c r="J5" s="429">
        <f>F5*$J$3</f>
        <v>78.273977880000004</v>
      </c>
    </row>
    <row r="6" spans="2:10" ht="28.5">
      <c r="B6" s="427"/>
      <c r="C6" s="428" t="s">
        <v>274</v>
      </c>
      <c r="D6" s="913">
        <f>J6*(1+'TS-R1 FC'!$C$18)</f>
        <v>83.981507616401913</v>
      </c>
      <c r="F6" s="364">
        <f>(H6*$F$2)+H6</f>
        <v>80.135007999999999</v>
      </c>
      <c r="H6" s="364">
        <v>76</v>
      </c>
      <c r="J6" s="429">
        <f>F6*$J$3</f>
        <v>79.317630918399999</v>
      </c>
    </row>
    <row r="7" spans="2:10" ht="28.5">
      <c r="B7" s="427">
        <v>2</v>
      </c>
      <c r="C7" s="428" t="s">
        <v>275</v>
      </c>
      <c r="D7" s="913">
        <f>J7*(1+'TS-R1 FC'!$C$18)</f>
        <v>0</v>
      </c>
      <c r="F7" s="364">
        <f>(H7*$F$2)+H7</f>
        <v>0</v>
      </c>
      <c r="H7" s="364"/>
      <c r="J7" s="429"/>
    </row>
    <row r="8" spans="2:10" ht="14.25">
      <c r="B8" s="427"/>
      <c r="C8" s="428" t="s">
        <v>276</v>
      </c>
      <c r="D8" s="913">
        <f>J8*(1+'TS-R1 FC'!$C$18)</f>
        <v>88.401586964633594</v>
      </c>
      <c r="F8" s="364">
        <f>(H8*$F$2)+H8</f>
        <v>84.352639999999994</v>
      </c>
      <c r="H8" s="364">
        <v>80</v>
      </c>
      <c r="J8" s="429">
        <f>F8*$J$3</f>
        <v>83.492243071999994</v>
      </c>
    </row>
    <row r="9" spans="2:10" ht="14.25">
      <c r="B9" s="427"/>
      <c r="C9" s="428" t="s">
        <v>277</v>
      </c>
      <c r="D9" s="913">
        <f>J9*(1+'TS-R1 FC'!$C$18)</f>
        <v>90.611626638749442</v>
      </c>
      <c r="F9" s="364">
        <f>(H9*$F$2)+H9</f>
        <v>86.461455999999998</v>
      </c>
      <c r="H9" s="364">
        <v>82</v>
      </c>
      <c r="J9" s="429">
        <f>F9*$J$3</f>
        <v>85.579549148799998</v>
      </c>
    </row>
    <row r="10" spans="2:10" ht="42.75">
      <c r="B10" s="427">
        <v>3</v>
      </c>
      <c r="C10" s="428" t="s">
        <v>278</v>
      </c>
      <c r="D10" s="429" t="s">
        <v>279</v>
      </c>
      <c r="F10" s="364" t="s">
        <v>279</v>
      </c>
      <c r="H10" s="364" t="s">
        <v>279</v>
      </c>
    </row>
    <row r="11" spans="2:10" ht="28.5">
      <c r="B11" s="427">
        <v>4</v>
      </c>
      <c r="C11" s="428" t="s">
        <v>280</v>
      </c>
      <c r="D11" s="429"/>
      <c r="F11" s="364"/>
      <c r="H11" s="364"/>
    </row>
    <row r="12" spans="2:10" ht="14.25">
      <c r="B12" s="427"/>
      <c r="C12" s="428" t="s">
        <v>281</v>
      </c>
      <c r="D12" s="913">
        <f>J12*(1+'TS-R1 FC'!$C$18)</f>
        <v>8.8401586964633605</v>
      </c>
      <c r="F12" s="364">
        <f t="shared" ref="F12:F23" si="0">(H12*$F$2)+H12</f>
        <v>8.4352640000000001</v>
      </c>
      <c r="H12" s="364">
        <v>8</v>
      </c>
      <c r="J12" s="429">
        <f t="shared" ref="J12:J23" si="1">F12*$J$3</f>
        <v>8.3492243072000001</v>
      </c>
    </row>
    <row r="13" spans="2:10" ht="14.25">
      <c r="B13" s="427"/>
      <c r="C13" s="428" t="s">
        <v>282</v>
      </c>
      <c r="D13" s="913">
        <f>J13*(1+'TS-R1 FC'!$C$18)</f>
        <v>7.7351388594054393</v>
      </c>
      <c r="F13" s="364">
        <f t="shared" si="0"/>
        <v>7.3808559999999996</v>
      </c>
      <c r="H13" s="364">
        <v>7</v>
      </c>
      <c r="J13" s="429">
        <f t="shared" si="1"/>
        <v>7.3055712687999996</v>
      </c>
    </row>
    <row r="14" spans="2:10" ht="14.25">
      <c r="B14" s="427"/>
      <c r="C14" s="428" t="s">
        <v>283</v>
      </c>
      <c r="D14" s="913">
        <f>J14*(1+'TS-R1 FC'!$C$18)</f>
        <v>14.36525788175296</v>
      </c>
      <c r="F14" s="364">
        <f t="shared" si="0"/>
        <v>13.707304000000001</v>
      </c>
      <c r="H14" s="364">
        <v>13</v>
      </c>
      <c r="J14" s="429">
        <f t="shared" si="1"/>
        <v>13.567489499200001</v>
      </c>
    </row>
    <row r="15" spans="2:10" ht="14.25">
      <c r="B15" s="427"/>
      <c r="C15" s="428" t="s">
        <v>284</v>
      </c>
      <c r="D15" s="913">
        <f>J15*(1+'TS-R1 FC'!$C$18)</f>
        <v>16.575297555868801</v>
      </c>
      <c r="F15" s="364">
        <f t="shared" si="0"/>
        <v>15.81612</v>
      </c>
      <c r="H15" s="364">
        <v>15</v>
      </c>
      <c r="J15" s="429">
        <f t="shared" si="1"/>
        <v>15.654795576</v>
      </c>
    </row>
    <row r="16" spans="2:10" ht="14.25">
      <c r="B16" s="427"/>
      <c r="C16" s="428" t="s">
        <v>285</v>
      </c>
      <c r="D16" s="913">
        <f>J16*(1+'TS-R1 FC'!$C$18)</f>
        <v>9.9451785335212808</v>
      </c>
      <c r="F16" s="364">
        <f t="shared" si="0"/>
        <v>9.4896720000000006</v>
      </c>
      <c r="H16" s="364">
        <v>9</v>
      </c>
      <c r="J16" s="429">
        <f t="shared" si="1"/>
        <v>9.3928773456000005</v>
      </c>
    </row>
    <row r="17" spans="2:10" ht="14.25">
      <c r="B17" s="427"/>
      <c r="C17" s="428" t="s">
        <v>286</v>
      </c>
      <c r="D17" s="913">
        <f>J17*(1+'TS-R1 FC'!$C$18)</f>
        <v>12.15521820763712</v>
      </c>
      <c r="F17" s="364">
        <f t="shared" si="0"/>
        <v>11.598488</v>
      </c>
      <c r="H17" s="364">
        <v>11</v>
      </c>
      <c r="J17" s="429">
        <f t="shared" si="1"/>
        <v>11.4801834224</v>
      </c>
    </row>
    <row r="18" spans="2:10" ht="14.25">
      <c r="B18" s="427"/>
      <c r="C18" s="428" t="s">
        <v>287</v>
      </c>
      <c r="D18" s="913">
        <f>J18*(1+'TS-R1 FC'!$C$18)</f>
        <v>44.200793482316797</v>
      </c>
      <c r="F18" s="364">
        <f t="shared" si="0"/>
        <v>42.176319999999997</v>
      </c>
      <c r="H18" s="364">
        <v>40</v>
      </c>
      <c r="J18" s="429">
        <f t="shared" si="1"/>
        <v>41.746121535999997</v>
      </c>
    </row>
    <row r="19" spans="2:10" ht="14.25">
      <c r="B19" s="427"/>
      <c r="C19" s="428" t="s">
        <v>288</v>
      </c>
      <c r="D19" s="913">
        <f>J19*(1+'TS-R1 FC'!$C$18)</f>
        <v>50.830912504664319</v>
      </c>
      <c r="F19" s="364">
        <f t="shared" si="0"/>
        <v>48.502768000000003</v>
      </c>
      <c r="H19" s="364">
        <v>46</v>
      </c>
      <c r="J19" s="429">
        <f t="shared" si="1"/>
        <v>48.008039766400003</v>
      </c>
    </row>
    <row r="20" spans="2:10" ht="14.25">
      <c r="B20" s="427"/>
      <c r="C20" s="428" t="s">
        <v>289</v>
      </c>
      <c r="D20" s="913">
        <f>J20*(1+'TS-R1 FC'!$C$18)</f>
        <v>164.6479557216301</v>
      </c>
      <c r="F20" s="364">
        <f t="shared" si="0"/>
        <v>157.10679200000001</v>
      </c>
      <c r="H20" s="364">
        <v>149</v>
      </c>
      <c r="J20" s="429">
        <f t="shared" si="1"/>
        <v>155.50430272160003</v>
      </c>
    </row>
    <row r="21" spans="2:10" ht="14.25">
      <c r="B21" s="427"/>
      <c r="C21" s="428" t="s">
        <v>290</v>
      </c>
      <c r="D21" s="913">
        <f>J21*(1+'TS-R1 FC'!$C$18)</f>
        <v>119.34214240225535</v>
      </c>
      <c r="F21" s="364">
        <f t="shared" si="0"/>
        <v>113.876064</v>
      </c>
      <c r="H21" s="364">
        <v>108</v>
      </c>
      <c r="J21" s="429">
        <f t="shared" si="1"/>
        <v>112.7145281472</v>
      </c>
    </row>
    <row r="22" spans="2:10" ht="14.25">
      <c r="B22" s="427"/>
      <c r="C22" s="428" t="s">
        <v>291</v>
      </c>
      <c r="D22" s="913">
        <f>J22*(1+'TS-R1 FC'!$C$18)</f>
        <v>149.17767800281919</v>
      </c>
      <c r="F22" s="364">
        <f t="shared" si="0"/>
        <v>142.34508</v>
      </c>
      <c r="H22" s="364">
        <v>135</v>
      </c>
      <c r="J22" s="429">
        <f t="shared" si="1"/>
        <v>140.89316018400001</v>
      </c>
    </row>
    <row r="23" spans="2:10" ht="14.25">
      <c r="B23" s="427"/>
      <c r="C23" s="428" t="s">
        <v>292</v>
      </c>
      <c r="D23" s="913">
        <f>J23*(1+'TS-R1 FC'!$C$18)</f>
        <v>114.92206305402368</v>
      </c>
      <c r="F23" s="364">
        <f t="shared" si="0"/>
        <v>109.658432</v>
      </c>
      <c r="H23" s="364">
        <v>104</v>
      </c>
      <c r="J23" s="429">
        <f t="shared" si="1"/>
        <v>108.5399159936</v>
      </c>
    </row>
    <row r="24" spans="2:10" ht="28.5">
      <c r="B24" s="427">
        <v>5</v>
      </c>
      <c r="C24" s="428" t="s">
        <v>293</v>
      </c>
      <c r="D24" s="429"/>
      <c r="F24" s="364"/>
      <c r="H24" s="364"/>
    </row>
    <row r="25" spans="2:10" ht="14.25">
      <c r="B25" s="427"/>
      <c r="C25" s="428" t="s">
        <v>281</v>
      </c>
      <c r="D25" s="913">
        <f>J25*(1+'TS-R1 FC'!$C$18)</f>
        <v>47.515852993490562</v>
      </c>
      <c r="F25" s="364">
        <f t="shared" ref="F25:F38" si="2">(H25*$F$2)+H25</f>
        <v>45.339544000000004</v>
      </c>
      <c r="H25" s="364">
        <v>43</v>
      </c>
      <c r="J25" s="429">
        <f t="shared" ref="J25:J36" si="3">F25*$J$3</f>
        <v>44.877080651200004</v>
      </c>
    </row>
    <row r="26" spans="2:10" ht="14.25">
      <c r="B26" s="427"/>
      <c r="C26" s="428" t="s">
        <v>282</v>
      </c>
      <c r="D26" s="913">
        <f>J26*(1+'TS-R1 FC'!$C$18)</f>
        <v>48.620872830548478</v>
      </c>
      <c r="F26" s="364">
        <f t="shared" si="2"/>
        <v>46.393951999999999</v>
      </c>
      <c r="H26" s="364">
        <v>44</v>
      </c>
      <c r="J26" s="429">
        <f t="shared" si="3"/>
        <v>45.920733689599999</v>
      </c>
    </row>
    <row r="27" spans="2:10" ht="14.25">
      <c r="B27" s="427"/>
      <c r="C27" s="428" t="s">
        <v>283</v>
      </c>
      <c r="D27" s="913">
        <f>J27*(1+'TS-R1 FC'!$C$18)</f>
        <v>51.935932341722236</v>
      </c>
      <c r="F27" s="364">
        <f t="shared" si="2"/>
        <v>49.557175999999998</v>
      </c>
      <c r="H27" s="364">
        <v>47</v>
      </c>
      <c r="J27" s="429">
        <f t="shared" si="3"/>
        <v>49.051692804799998</v>
      </c>
    </row>
    <row r="28" spans="2:10" ht="14.25">
      <c r="B28" s="427"/>
      <c r="C28" s="428" t="s">
        <v>284</v>
      </c>
      <c r="D28" s="913">
        <f>J28*(1+'TS-R1 FC'!$C$18)</f>
        <v>177.90819376632513</v>
      </c>
      <c r="F28" s="364">
        <f t="shared" si="2"/>
        <v>169.75968800000001</v>
      </c>
      <c r="H28" s="364">
        <v>161</v>
      </c>
      <c r="J28" s="429">
        <f t="shared" si="3"/>
        <v>168.02813918240003</v>
      </c>
    </row>
    <row r="29" spans="2:10" ht="14.25">
      <c r="B29" s="427"/>
      <c r="C29" s="428" t="s">
        <v>285</v>
      </c>
      <c r="D29" s="913">
        <f>J29*(1+'TS-R1 FC'!$C$18)</f>
        <v>185.64333262573055</v>
      </c>
      <c r="F29" s="364">
        <f t="shared" si="2"/>
        <v>177.14054400000001</v>
      </c>
      <c r="H29" s="364">
        <v>168</v>
      </c>
      <c r="J29" s="429">
        <f t="shared" si="3"/>
        <v>175.33371045120001</v>
      </c>
    </row>
    <row r="30" spans="2:10" ht="14.25">
      <c r="B30" s="427"/>
      <c r="C30" s="428" t="s">
        <v>286</v>
      </c>
      <c r="D30" s="913">
        <f>J30*(1+'TS-R1 FC'!$C$18)</f>
        <v>350.29128834736065</v>
      </c>
      <c r="F30" s="364">
        <f t="shared" si="2"/>
        <v>334.24733600000002</v>
      </c>
      <c r="H30" s="364">
        <v>317</v>
      </c>
      <c r="J30" s="429">
        <f t="shared" si="3"/>
        <v>330.8380131728</v>
      </c>
    </row>
    <row r="31" spans="2:10" ht="14.25">
      <c r="B31" s="427"/>
      <c r="C31" s="428" t="s">
        <v>287</v>
      </c>
      <c r="D31" s="913">
        <f>J31*(1+'TS-R1 FC'!$C$18)</f>
        <v>366.86658590322941</v>
      </c>
      <c r="F31" s="364">
        <f t="shared" si="2"/>
        <v>350.06345599999997</v>
      </c>
      <c r="H31" s="364">
        <v>332</v>
      </c>
      <c r="J31" s="429">
        <f t="shared" si="3"/>
        <v>346.49280874879997</v>
      </c>
    </row>
    <row r="32" spans="2:10" ht="14.25">
      <c r="B32" s="427"/>
      <c r="C32" s="428" t="s">
        <v>288</v>
      </c>
      <c r="D32" s="913">
        <f>J32*(1+'TS-R1 FC'!$C$18)</f>
        <v>1692.8903903727335</v>
      </c>
      <c r="F32" s="364">
        <f t="shared" si="2"/>
        <v>1615.3530559999999</v>
      </c>
      <c r="H32" s="364">
        <v>1532</v>
      </c>
      <c r="J32" s="429">
        <f t="shared" si="3"/>
        <v>1598.8764548288</v>
      </c>
    </row>
    <row r="33" spans="2:10" ht="14.25">
      <c r="B33" s="427"/>
      <c r="C33" s="428" t="s">
        <v>289</v>
      </c>
      <c r="D33" s="913">
        <f>J33*(1+'TS-R1 FC'!$C$18)</f>
        <v>1857.5383460943633</v>
      </c>
      <c r="F33" s="364">
        <f t="shared" si="2"/>
        <v>1772.459848</v>
      </c>
      <c r="H33" s="364">
        <v>1681</v>
      </c>
      <c r="J33" s="429">
        <f t="shared" si="3"/>
        <v>1754.3807575503999</v>
      </c>
    </row>
    <row r="34" spans="2:10" ht="14.25">
      <c r="B34" s="427"/>
      <c r="C34" s="428" t="s">
        <v>290</v>
      </c>
      <c r="D34" s="913">
        <f>J34*(1+'TS-R1 FC'!$C$18)</f>
        <v>1887.3738816949274</v>
      </c>
      <c r="F34" s="364">
        <f t="shared" si="2"/>
        <v>1800.928864</v>
      </c>
      <c r="H34" s="364">
        <v>1708</v>
      </c>
      <c r="J34" s="429">
        <f t="shared" si="3"/>
        <v>1782.5593895872</v>
      </c>
    </row>
    <row r="35" spans="2:10" ht="14.25">
      <c r="B35" s="427"/>
      <c r="C35" s="428" t="s">
        <v>291</v>
      </c>
      <c r="D35" s="913">
        <f>J35*(1+'TS-R1 FC'!$C$18)</f>
        <v>3222.2378448608947</v>
      </c>
      <c r="F35" s="364">
        <f t="shared" si="2"/>
        <v>3074.6537280000002</v>
      </c>
      <c r="H35" s="364">
        <v>2916</v>
      </c>
      <c r="J35" s="429">
        <f t="shared" si="3"/>
        <v>3043.2922599744002</v>
      </c>
    </row>
    <row r="36" spans="2:10" ht="14.25">
      <c r="B36" s="427"/>
      <c r="C36" s="428" t="s">
        <v>292</v>
      </c>
      <c r="D36" s="913">
        <f>J36*(1+'TS-R1 FC'!$C$18)</f>
        <v>5224.5337896098454</v>
      </c>
      <c r="F36" s="364">
        <f t="shared" si="2"/>
        <v>4985.2410239999999</v>
      </c>
      <c r="H36" s="364">
        <v>4728</v>
      </c>
      <c r="J36" s="429">
        <f t="shared" si="3"/>
        <v>4934.3915655552</v>
      </c>
    </row>
    <row r="37" spans="2:10" ht="19.5" customHeight="1">
      <c r="B37" s="109"/>
      <c r="C37" s="431"/>
      <c r="D37" s="434"/>
      <c r="F37" s="437"/>
      <c r="H37" s="437"/>
    </row>
    <row r="38" spans="2:10" ht="19.5" customHeight="1" thickBot="1">
      <c r="B38" s="432"/>
      <c r="C38" s="433"/>
      <c r="D38" s="435"/>
      <c r="F38" s="437">
        <f t="shared" si="2"/>
        <v>0</v>
      </c>
      <c r="H38" s="437"/>
    </row>
    <row r="39" spans="2:10" ht="15.75" thickBot="1">
      <c r="B39" s="1290" t="s">
        <v>271</v>
      </c>
      <c r="C39" s="1291"/>
      <c r="D39" s="1292"/>
      <c r="H39" s="436"/>
    </row>
    <row r="40" spans="2:10" ht="28.5">
      <c r="B40" s="929">
        <v>6</v>
      </c>
      <c r="C40" s="930" t="s">
        <v>294</v>
      </c>
      <c r="D40" s="931" t="s">
        <v>279</v>
      </c>
      <c r="F40" s="364" t="s">
        <v>279</v>
      </c>
      <c r="H40" s="364" t="s">
        <v>279</v>
      </c>
    </row>
    <row r="41" spans="2:10" ht="28.5">
      <c r="B41" s="427">
        <v>7</v>
      </c>
      <c r="C41" s="428" t="s">
        <v>295</v>
      </c>
      <c r="D41" s="429"/>
      <c r="F41" s="364"/>
      <c r="H41" s="364"/>
    </row>
    <row r="42" spans="2:10" ht="14.25">
      <c r="B42" s="427"/>
      <c r="C42" s="428" t="s">
        <v>296</v>
      </c>
      <c r="D42" s="913">
        <f>J42*(1+'TS-R1 FC'!$C$18)</f>
        <v>118.23712256519744</v>
      </c>
      <c r="F42" s="364">
        <f>(H42*$F$2)+H42</f>
        <v>112.821656</v>
      </c>
      <c r="H42" s="364">
        <v>107</v>
      </c>
      <c r="J42" s="429">
        <f>F42*$J$3</f>
        <v>111.6708751088</v>
      </c>
    </row>
    <row r="43" spans="2:10" ht="14.25">
      <c r="B43" s="427"/>
      <c r="C43" s="428" t="s">
        <v>297</v>
      </c>
      <c r="D43" s="913">
        <f>J43*(1+'TS-R1 FC'!$C$18)</f>
        <v>233.15918561922112</v>
      </c>
      <c r="F43" s="364">
        <f>(H43*$F$2)+H43</f>
        <v>222.48008799999999</v>
      </c>
      <c r="H43" s="364">
        <v>211</v>
      </c>
      <c r="J43" s="429">
        <f>F43*$J$3</f>
        <v>220.21079110240001</v>
      </c>
    </row>
    <row r="44" spans="2:10" ht="28.5">
      <c r="B44" s="427">
        <v>8</v>
      </c>
      <c r="C44" s="428" t="s">
        <v>298</v>
      </c>
      <c r="D44" s="429"/>
      <c r="F44" s="364"/>
      <c r="H44" s="364"/>
    </row>
    <row r="45" spans="2:10" ht="14.25">
      <c r="B45" s="427"/>
      <c r="C45" s="428" t="s">
        <v>296</v>
      </c>
      <c r="D45" s="913">
        <f>J45*(1+'TS-R1 FC'!$C$18)</f>
        <v>110.50198370579199</v>
      </c>
      <c r="F45" s="364">
        <f>(H45*$F$2)+H45</f>
        <v>105.4408</v>
      </c>
      <c r="H45" s="364">
        <v>100</v>
      </c>
      <c r="J45" s="429">
        <f>F45*$J$3</f>
        <v>104.36530384</v>
      </c>
    </row>
    <row r="46" spans="2:10" ht="14.25">
      <c r="B46" s="427"/>
      <c r="C46" s="428" t="s">
        <v>297</v>
      </c>
      <c r="D46" s="913">
        <f>J46*(1+'TS-R1 FC'!$C$18)</f>
        <v>224.31902692275779</v>
      </c>
      <c r="F46" s="364">
        <f>(H46*$F$2)+H46</f>
        <v>214.04482400000001</v>
      </c>
      <c r="H46" s="364">
        <v>203</v>
      </c>
      <c r="J46" s="429">
        <f>F46*$J$3</f>
        <v>211.86156679520002</v>
      </c>
    </row>
    <row r="47" spans="2:10" ht="15" customHeight="1">
      <c r="B47" s="427">
        <v>9</v>
      </c>
      <c r="C47" s="428" t="s">
        <v>299</v>
      </c>
      <c r="D47" s="913">
        <f>J47*(1+'TS-R1 FC'!$C$18)</f>
        <v>37.570674459969275</v>
      </c>
      <c r="F47" s="364">
        <f>(H47*$F$2)+H47</f>
        <v>35.849871999999998</v>
      </c>
      <c r="H47" s="364">
        <v>34</v>
      </c>
      <c r="J47" s="429">
        <f>F47*$J$3</f>
        <v>35.484203305599998</v>
      </c>
    </row>
    <row r="48" spans="2:10" ht="28.5">
      <c r="B48" s="427">
        <v>10</v>
      </c>
      <c r="C48" s="428" t="s">
        <v>300</v>
      </c>
      <c r="D48" s="429"/>
      <c r="F48" s="364"/>
      <c r="H48" s="364"/>
    </row>
    <row r="49" spans="2:10" ht="14.25">
      <c r="B49" s="427">
        <v>11</v>
      </c>
      <c r="C49" s="428" t="s">
        <v>301</v>
      </c>
      <c r="D49" s="429"/>
      <c r="F49" s="364"/>
      <c r="H49" s="364"/>
    </row>
    <row r="50" spans="2:10" ht="14.25">
      <c r="B50" s="427"/>
      <c r="C50" s="430" t="s">
        <v>302</v>
      </c>
      <c r="D50" s="429" t="s">
        <v>303</v>
      </c>
      <c r="F50" s="364" t="s">
        <v>303</v>
      </c>
      <c r="H50" s="364" t="s">
        <v>303</v>
      </c>
    </row>
    <row r="51" spans="2:10" ht="15" customHeight="1">
      <c r="B51" s="427"/>
      <c r="C51" s="428" t="s">
        <v>304</v>
      </c>
      <c r="D51" s="913">
        <f>J51*(1+'TS-R1 FC'!$C$18)</f>
        <v>17.680317392926721</v>
      </c>
      <c r="F51" s="364">
        <f>(H51*$F$2)+H51</f>
        <v>16.870528</v>
      </c>
      <c r="H51" s="364">
        <v>16</v>
      </c>
      <c r="J51" s="429">
        <f>F51*$J$3</f>
        <v>16.6984486144</v>
      </c>
    </row>
    <row r="52" spans="2:10" ht="15" customHeight="1">
      <c r="B52" s="427">
        <v>12</v>
      </c>
      <c r="C52" s="428" t="s">
        <v>305</v>
      </c>
      <c r="D52" s="429"/>
      <c r="F52" s="364"/>
      <c r="H52" s="364"/>
    </row>
    <row r="53" spans="2:10" ht="29.25" customHeight="1">
      <c r="B53" s="427"/>
      <c r="C53" s="428" t="s">
        <v>306</v>
      </c>
      <c r="D53" s="429" t="s">
        <v>279</v>
      </c>
      <c r="F53" s="364" t="s">
        <v>279</v>
      </c>
      <c r="H53" s="364" t="s">
        <v>279</v>
      </c>
    </row>
    <row r="54" spans="2:10" ht="31.5" customHeight="1">
      <c r="B54" s="427"/>
      <c r="C54" s="430" t="s">
        <v>307</v>
      </c>
      <c r="D54" s="913">
        <f>J54*(1+'TS-R1 FC'!$C$18)</f>
        <v>45.305813319374721</v>
      </c>
      <c r="F54" s="364">
        <f>(H54*$F$2)+H54</f>
        <v>43.230727999999999</v>
      </c>
      <c r="H54" s="364">
        <v>41</v>
      </c>
      <c r="J54" s="429">
        <f>F54*$J$3</f>
        <v>42.789774574399999</v>
      </c>
    </row>
    <row r="55" spans="2:10" ht="28.5">
      <c r="B55" s="427">
        <v>13</v>
      </c>
      <c r="C55" s="428" t="s">
        <v>308</v>
      </c>
      <c r="D55" s="429"/>
      <c r="F55" s="364"/>
      <c r="H55" s="364"/>
    </row>
    <row r="56" spans="2:10" ht="15" customHeight="1">
      <c r="B56" s="427"/>
      <c r="C56" s="428" t="s">
        <v>309</v>
      </c>
      <c r="D56" s="913">
        <f>J56*(1+'TS-R1 FC'!$C$18)</f>
        <v>8.8401586964633605</v>
      </c>
      <c r="F56" s="364">
        <f>(H56*$F$2)+H56</f>
        <v>8.4352640000000001</v>
      </c>
      <c r="H56" s="364">
        <v>8</v>
      </c>
      <c r="J56" s="429">
        <f>F56*$J$3</f>
        <v>8.3492243072000001</v>
      </c>
    </row>
    <row r="57" spans="2:10" ht="14.25">
      <c r="B57" s="427"/>
      <c r="C57" s="428" t="s">
        <v>310</v>
      </c>
      <c r="D57" s="913">
        <f>J57*(1+'TS-R1 FC'!$C$18)</f>
        <v>8.8401586964633605</v>
      </c>
      <c r="F57" s="364">
        <f>(H57*$F$2)+H57</f>
        <v>8.4352640000000001</v>
      </c>
      <c r="H57" s="364">
        <v>8</v>
      </c>
      <c r="J57" s="429">
        <f>F57*$J$3</f>
        <v>8.3492243072000001</v>
      </c>
    </row>
    <row r="58" spans="2:10" ht="14.25">
      <c r="B58" s="427">
        <v>14</v>
      </c>
      <c r="C58" s="428" t="s">
        <v>311</v>
      </c>
      <c r="D58" s="913">
        <f>J58*(1+'TS-R1 FC'!$C$18)</f>
        <v>44.200793482316797</v>
      </c>
      <c r="F58" s="364">
        <f>(H58*$F$2)+H58</f>
        <v>42.176319999999997</v>
      </c>
      <c r="H58" s="364">
        <v>40</v>
      </c>
      <c r="J58" s="429">
        <f>F58*$J$3</f>
        <v>41.746121535999997</v>
      </c>
    </row>
    <row r="59" spans="2:10" ht="19.5" customHeight="1" thickBot="1">
      <c r="B59" s="932"/>
      <c r="C59" s="933"/>
      <c r="D59" s="934"/>
      <c r="F59" s="364"/>
      <c r="H59" s="364"/>
    </row>
    <row r="60" spans="2:10" ht="15.75" thickBot="1">
      <c r="B60" s="1290" t="s">
        <v>312</v>
      </c>
      <c r="C60" s="1291"/>
      <c r="D60" s="1292"/>
      <c r="H60" s="363"/>
    </row>
    <row r="61" spans="2:10" ht="28.5">
      <c r="B61" s="425">
        <v>15</v>
      </c>
      <c r="C61" s="426" t="s">
        <v>313</v>
      </c>
      <c r="D61" s="913">
        <f>J61*(1+'TS-R1 FC'!$C$18)</f>
        <v>274.04491959036415</v>
      </c>
      <c r="F61" s="364">
        <f t="shared" ref="F61:F66" si="4">(H61*$F$2)+H61</f>
        <v>261.49318399999999</v>
      </c>
      <c r="H61" s="364">
        <v>248</v>
      </c>
      <c r="J61" s="429">
        <f t="shared" ref="J61:J66" si="5">F61*$J$3</f>
        <v>258.82595352319998</v>
      </c>
    </row>
    <row r="62" spans="2:10" ht="28.5">
      <c r="B62" s="427"/>
      <c r="C62" s="428" t="s">
        <v>314</v>
      </c>
      <c r="D62" s="913">
        <f>J62*(1+'TS-R1 FC'!$C$18)</f>
        <v>163.54293588457213</v>
      </c>
      <c r="F62" s="364">
        <f t="shared" si="4"/>
        <v>156.05238399999999</v>
      </c>
      <c r="H62" s="364">
        <v>148</v>
      </c>
      <c r="J62" s="429">
        <f t="shared" si="5"/>
        <v>154.46064968319999</v>
      </c>
    </row>
    <row r="63" spans="2:10" ht="14.25">
      <c r="B63" s="427">
        <v>16</v>
      </c>
      <c r="C63" s="428" t="s">
        <v>315</v>
      </c>
      <c r="D63" s="913">
        <f>J63*(1+'TS-R1 FC'!$C$18)</f>
        <v>46.410833156432638</v>
      </c>
      <c r="F63" s="364">
        <f t="shared" si="4"/>
        <v>44.285136000000001</v>
      </c>
      <c r="H63" s="364">
        <v>42</v>
      </c>
      <c r="J63" s="429">
        <f t="shared" si="5"/>
        <v>43.833427612800001</v>
      </c>
    </row>
    <row r="64" spans="2:10" ht="14.25">
      <c r="B64" s="427">
        <v>17</v>
      </c>
      <c r="C64" s="428" t="s">
        <v>316</v>
      </c>
      <c r="D64" s="913"/>
      <c r="F64" s="364">
        <f t="shared" si="4"/>
        <v>0</v>
      </c>
      <c r="H64" s="364"/>
      <c r="J64" s="429">
        <f t="shared" si="5"/>
        <v>0</v>
      </c>
    </row>
    <row r="65" spans="2:10" ht="14.25">
      <c r="B65" s="427"/>
      <c r="C65" s="428" t="s">
        <v>317</v>
      </c>
      <c r="D65" s="913">
        <f>J65*(1+'TS-R1 FC'!$C$18)</f>
        <v>163.54293588457213</v>
      </c>
      <c r="F65" s="364">
        <f t="shared" si="4"/>
        <v>156.05238399999999</v>
      </c>
      <c r="H65" s="364">
        <v>148</v>
      </c>
      <c r="J65" s="429">
        <f t="shared" si="5"/>
        <v>154.46064968319999</v>
      </c>
    </row>
    <row r="66" spans="2:10" ht="14.25">
      <c r="B66" s="427"/>
      <c r="C66" s="428" t="s">
        <v>318</v>
      </c>
      <c r="D66" s="913">
        <f>J66*(1+'TS-R1 FC'!$C$18)</f>
        <v>274.04491959036415</v>
      </c>
      <c r="F66" s="364">
        <f t="shared" si="4"/>
        <v>261.49318399999999</v>
      </c>
      <c r="H66" s="364">
        <v>248</v>
      </c>
      <c r="J66" s="429">
        <f t="shared" si="5"/>
        <v>258.82595352319998</v>
      </c>
    </row>
    <row r="67" spans="2:10" ht="19.5" customHeight="1">
      <c r="B67" s="109"/>
      <c r="C67" s="431"/>
      <c r="D67" s="434"/>
      <c r="F67" s="364"/>
      <c r="H67" s="364"/>
    </row>
    <row r="68" spans="2:10" ht="19.5" customHeight="1" thickBot="1">
      <c r="B68" s="109"/>
      <c r="C68" s="935"/>
      <c r="D68" s="434"/>
      <c r="E68" s="367"/>
      <c r="F68" s="364"/>
      <c r="H68" s="364"/>
    </row>
    <row r="69" spans="2:10" ht="15.75" thickBot="1">
      <c r="B69" s="1290" t="s">
        <v>319</v>
      </c>
      <c r="C69" s="1291"/>
      <c r="D69" s="1292"/>
      <c r="H69" s="363"/>
    </row>
    <row r="70" spans="2:10" ht="14.25">
      <c r="B70" s="929">
        <v>18</v>
      </c>
      <c r="C70" s="930" t="s">
        <v>320</v>
      </c>
      <c r="D70" s="931"/>
      <c r="H70" s="363"/>
    </row>
    <row r="71" spans="2:10" ht="28.5">
      <c r="B71" s="427"/>
      <c r="C71" s="428" t="s">
        <v>321</v>
      </c>
      <c r="D71" s="913">
        <f>J71*(1+'TS-R1 FC'!$C$18)</f>
        <v>38.675694297027199</v>
      </c>
      <c r="F71" s="364">
        <f>(H71*$F$2)+H71</f>
        <v>36.90428</v>
      </c>
      <c r="H71" s="364">
        <v>35</v>
      </c>
      <c r="J71" s="429">
        <f>F71*$J$3</f>
        <v>36.527856344</v>
      </c>
    </row>
    <row r="72" spans="2:10" ht="14.25">
      <c r="B72" s="427"/>
      <c r="C72" s="430" t="s">
        <v>322</v>
      </c>
      <c r="D72" s="913">
        <f>J72*(1+'TS-R1 FC'!$C$18)</f>
        <v>38.675694297027199</v>
      </c>
      <c r="F72" s="364">
        <f>(H72*$F$2)+H72</f>
        <v>36.90428</v>
      </c>
      <c r="H72" s="364">
        <v>35</v>
      </c>
      <c r="J72" s="429">
        <f>F72*$J$3</f>
        <v>36.527856344</v>
      </c>
    </row>
    <row r="73" spans="2:10" ht="14.25">
      <c r="B73" s="427"/>
      <c r="C73" s="430" t="s">
        <v>323</v>
      </c>
      <c r="D73" s="913">
        <f>J73*(1+'TS-R1 FC'!$C$18)</f>
        <v>33.150595111737601</v>
      </c>
      <c r="F73" s="364">
        <f>(H73*$F$2)+H73</f>
        <v>31.632239999999999</v>
      </c>
      <c r="H73" s="364">
        <v>30</v>
      </c>
      <c r="J73" s="429">
        <f>F73*$J$3</f>
        <v>31.309591151999999</v>
      </c>
    </row>
    <row r="74" spans="2:10" ht="14.25">
      <c r="B74" s="427">
        <v>19</v>
      </c>
      <c r="C74" s="428" t="s">
        <v>324</v>
      </c>
      <c r="D74" s="429"/>
      <c r="F74" s="364"/>
      <c r="H74" s="364"/>
    </row>
    <row r="75" spans="2:10" ht="14.25">
      <c r="B75" s="427"/>
      <c r="C75" s="428" t="s">
        <v>325</v>
      </c>
      <c r="D75" s="429" t="s">
        <v>326</v>
      </c>
      <c r="F75" s="364" t="s">
        <v>326</v>
      </c>
      <c r="H75" s="364" t="s">
        <v>326</v>
      </c>
    </row>
    <row r="76" spans="2:10" ht="14.25">
      <c r="B76" s="427"/>
      <c r="C76" s="428" t="s">
        <v>327</v>
      </c>
      <c r="D76" s="913">
        <f>J76*(1+'TS-R1 FC'!$C$18)</f>
        <v>8.8401586964633605</v>
      </c>
      <c r="F76" s="364">
        <f>(H76*$F$2)+H76</f>
        <v>8.4352640000000001</v>
      </c>
      <c r="H76" s="364">
        <v>8</v>
      </c>
      <c r="J76" s="429">
        <f>F76*$J$3</f>
        <v>8.3492243072000001</v>
      </c>
    </row>
    <row r="77" spans="2:10" ht="14.25">
      <c r="B77" s="427"/>
      <c r="C77" s="428"/>
      <c r="D77" s="429"/>
      <c r="F77" s="364"/>
      <c r="H77" s="364"/>
    </row>
    <row r="78" spans="2:10" ht="48.75" customHeight="1">
      <c r="B78" s="427">
        <v>20</v>
      </c>
      <c r="C78" s="428" t="s">
        <v>328</v>
      </c>
      <c r="D78" s="429" t="s">
        <v>303</v>
      </c>
      <c r="F78" s="364" t="s">
        <v>303</v>
      </c>
      <c r="H78" s="364" t="s">
        <v>303</v>
      </c>
    </row>
    <row r="79" spans="2:10" ht="76.5" customHeight="1">
      <c r="B79" s="427">
        <v>21</v>
      </c>
      <c r="C79" s="428" t="s">
        <v>329</v>
      </c>
      <c r="D79" s="429" t="s">
        <v>303</v>
      </c>
      <c r="F79" s="364" t="s">
        <v>303</v>
      </c>
      <c r="H79" s="364" t="s">
        <v>303</v>
      </c>
    </row>
    <row r="80" spans="2:10" ht="16.5" customHeight="1" thickBot="1">
      <c r="B80" s="936"/>
      <c r="C80" s="937"/>
      <c r="D80" s="936"/>
      <c r="H80" s="363"/>
    </row>
    <row r="81" spans="2:10" ht="15.75" thickBot="1">
      <c r="B81" s="1290" t="s">
        <v>330</v>
      </c>
      <c r="C81" s="1291"/>
      <c r="D81" s="1292"/>
      <c r="H81" s="363"/>
    </row>
    <row r="82" spans="2:10" ht="14.25">
      <c r="B82" s="929">
        <v>22</v>
      </c>
      <c r="C82" s="930" t="s">
        <v>331</v>
      </c>
      <c r="D82" s="931"/>
      <c r="F82" s="364"/>
      <c r="H82" s="364"/>
    </row>
    <row r="83" spans="2:10" ht="14.25">
      <c r="B83" s="427"/>
      <c r="C83" s="428" t="s">
        <v>332</v>
      </c>
      <c r="D83" s="429" t="s">
        <v>303</v>
      </c>
      <c r="F83" s="364" t="s">
        <v>303</v>
      </c>
      <c r="H83" s="364" t="s">
        <v>303</v>
      </c>
    </row>
    <row r="84" spans="2:10" ht="14.25">
      <c r="B84" s="427"/>
      <c r="C84" s="430" t="s">
        <v>333</v>
      </c>
      <c r="D84" s="913">
        <f>J84*(1+'TS-R1 FC'!$C$18)</f>
        <v>1.5801783669928255</v>
      </c>
      <c r="F84" s="364">
        <f>(H84*$F$2)+H84</f>
        <v>1.50780344</v>
      </c>
      <c r="H84" s="364">
        <v>1.43</v>
      </c>
      <c r="J84" s="429">
        <f>F84*$J$3</f>
        <v>1.492423844912</v>
      </c>
    </row>
    <row r="85" spans="2:10" ht="14.25">
      <c r="B85" s="427">
        <v>23</v>
      </c>
      <c r="C85" s="428" t="s">
        <v>334</v>
      </c>
      <c r="D85" s="429"/>
      <c r="F85" s="364"/>
      <c r="H85" s="364"/>
    </row>
    <row r="86" spans="2:10" ht="42.75" customHeight="1">
      <c r="B86" s="427"/>
      <c r="C86" s="430" t="s">
        <v>335</v>
      </c>
      <c r="D86" s="913">
        <f>J86*(1+'TS-R1 FC'!$C$18)</f>
        <v>8.8401586964633605</v>
      </c>
      <c r="F86" s="364">
        <f>(H86*$F$2)+H86</f>
        <v>8.4352640000000001</v>
      </c>
      <c r="H86" s="364">
        <v>8</v>
      </c>
      <c r="J86" s="429">
        <f>F86*$J$3</f>
        <v>8.3492243072000001</v>
      </c>
    </row>
    <row r="87" spans="2:10" ht="45.75" customHeight="1">
      <c r="B87" s="427"/>
      <c r="C87" s="438" t="s">
        <v>336</v>
      </c>
      <c r="D87" s="913">
        <f>J87*(1+'TS-R1 FC'!$C$18)</f>
        <v>20.995376904100478</v>
      </c>
      <c r="F87" s="364">
        <f>(H87*$F$2)+H87</f>
        <v>20.033752</v>
      </c>
      <c r="H87" s="364">
        <v>19</v>
      </c>
      <c r="J87" s="429">
        <f>F87*$J$3</f>
        <v>19.8294077296</v>
      </c>
    </row>
    <row r="88" spans="2:10" ht="42.75">
      <c r="B88" s="427"/>
      <c r="C88" s="428" t="s">
        <v>337</v>
      </c>
      <c r="D88" s="913">
        <f>J88*(1+'TS-R1 FC'!$C$18)</f>
        <v>3.31505951117376</v>
      </c>
      <c r="F88" s="364">
        <f>(H88*$F$2)+H88</f>
        <v>3.163224</v>
      </c>
      <c r="H88" s="364">
        <v>3</v>
      </c>
      <c r="J88" s="429">
        <f>F88*$J$3</f>
        <v>3.1309591152</v>
      </c>
    </row>
    <row r="89" spans="2:10" ht="28.5">
      <c r="B89" s="427"/>
      <c r="C89" s="428" t="s">
        <v>338</v>
      </c>
      <c r="D89" s="913">
        <f>J89*(1+'TS-R1 FC'!$C$18)</f>
        <v>20.995376904100478</v>
      </c>
      <c r="F89" s="364">
        <f>(H89*$F$2)+H89</f>
        <v>20.033752</v>
      </c>
      <c r="H89" s="364">
        <v>19</v>
      </c>
      <c r="J89" s="429">
        <f>F89*$J$3</f>
        <v>19.8294077296</v>
      </c>
    </row>
    <row r="90" spans="2:10" ht="57">
      <c r="B90" s="427"/>
      <c r="C90" s="428" t="s">
        <v>339</v>
      </c>
      <c r="D90" s="913">
        <f>J90*(1+'TS-R1 FC'!$C$18)</f>
        <v>9.9451785335212808</v>
      </c>
      <c r="F90" s="364">
        <f>(H90*$F$2)+H90</f>
        <v>9.4896720000000006</v>
      </c>
      <c r="H90" s="364">
        <v>9</v>
      </c>
      <c r="J90" s="429">
        <f>F90*$J$3</f>
        <v>9.3928773456000005</v>
      </c>
    </row>
    <row r="91" spans="2:10" ht="42.75">
      <c r="B91" s="427"/>
      <c r="C91" s="428" t="s">
        <v>340</v>
      </c>
      <c r="D91" s="429" t="s">
        <v>303</v>
      </c>
      <c r="F91" s="364" t="s">
        <v>303</v>
      </c>
      <c r="H91" s="364" t="s">
        <v>303</v>
      </c>
    </row>
  </sheetData>
  <mergeCells count="7">
    <mergeCell ref="B1:D1"/>
    <mergeCell ref="B2:D2"/>
    <mergeCell ref="B81:D81"/>
    <mergeCell ref="B3:D3"/>
    <mergeCell ref="B60:D60"/>
    <mergeCell ref="B69:D69"/>
    <mergeCell ref="B39:D39"/>
  </mergeCells>
  <printOptions horizontalCentered="1"/>
  <pageMargins left="0.98425196850393704" right="0.59055118110236227" top="1.9685039370078741" bottom="1.0629921259842521" header="0.39370078740157483" footer="0.39370078740157483"/>
  <pageSetup paperSize="9" scale="95" fitToHeight="3" orientation="portrait" r:id="rId1"/>
  <headerFooter alignWithMargins="0"/>
  <rowBreaks count="2" manualBreakCount="2">
    <brk id="36" min="1" max="3" man="1"/>
    <brk id="66" min="1" max="3" man="1"/>
  </row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49">
    <tabColor rgb="FF7030A0"/>
  </sheetPr>
  <dimension ref="B1:K36"/>
  <sheetViews>
    <sheetView showGridLines="0" workbookViewId="0">
      <selection activeCell="C8" sqref="C8"/>
    </sheetView>
  </sheetViews>
  <sheetFormatPr defaultColWidth="11.5703125" defaultRowHeight="12.75"/>
  <cols>
    <col min="1" max="1" width="2.7109375" style="157" customWidth="1"/>
    <col min="2" max="2" width="6.28515625" style="157" customWidth="1"/>
    <col min="3" max="3" width="25.42578125" style="157" customWidth="1"/>
    <col min="4" max="4" width="22.28515625" style="157" customWidth="1"/>
    <col min="5" max="5" width="17.42578125" style="157" customWidth="1"/>
    <col min="6" max="6" width="22.140625" style="157" customWidth="1"/>
    <col min="7" max="7" width="2.7109375" style="157" customWidth="1"/>
    <col min="8" max="11" width="0" style="157" hidden="1" customWidth="1"/>
    <col min="12" max="257" width="11.5703125" style="157"/>
    <col min="258" max="258" width="6.28515625" style="157" customWidth="1"/>
    <col min="259" max="262" width="14.5703125" style="157" customWidth="1"/>
    <col min="263" max="263" width="13" style="157" customWidth="1"/>
    <col min="264" max="513" width="11.5703125" style="157"/>
    <col min="514" max="514" width="6.28515625" style="157" customWidth="1"/>
    <col min="515" max="518" width="14.5703125" style="157" customWidth="1"/>
    <col min="519" max="519" width="13" style="157" customWidth="1"/>
    <col min="520" max="769" width="11.5703125" style="157"/>
    <col min="770" max="770" width="6.28515625" style="157" customWidth="1"/>
    <col min="771" max="774" width="14.5703125" style="157" customWidth="1"/>
    <col min="775" max="775" width="13" style="157" customWidth="1"/>
    <col min="776" max="1025" width="11.5703125" style="157"/>
    <col min="1026" max="1026" width="6.28515625" style="157" customWidth="1"/>
    <col min="1027" max="1030" width="14.5703125" style="157" customWidth="1"/>
    <col min="1031" max="1031" width="13" style="157" customWidth="1"/>
    <col min="1032" max="1281" width="11.5703125" style="157"/>
    <col min="1282" max="1282" width="6.28515625" style="157" customWidth="1"/>
    <col min="1283" max="1286" width="14.5703125" style="157" customWidth="1"/>
    <col min="1287" max="1287" width="13" style="157" customWidth="1"/>
    <col min="1288" max="1537" width="11.5703125" style="157"/>
    <col min="1538" max="1538" width="6.28515625" style="157" customWidth="1"/>
    <col min="1539" max="1542" width="14.5703125" style="157" customWidth="1"/>
    <col min="1543" max="1543" width="13" style="157" customWidth="1"/>
    <col min="1544" max="1793" width="11.5703125" style="157"/>
    <col min="1794" max="1794" width="6.28515625" style="157" customWidth="1"/>
    <col min="1795" max="1798" width="14.5703125" style="157" customWidth="1"/>
    <col min="1799" max="1799" width="13" style="157" customWidth="1"/>
    <col min="1800" max="2049" width="11.5703125" style="157"/>
    <col min="2050" max="2050" width="6.28515625" style="157" customWidth="1"/>
    <col min="2051" max="2054" width="14.5703125" style="157" customWidth="1"/>
    <col min="2055" max="2055" width="13" style="157" customWidth="1"/>
    <col min="2056" max="2305" width="11.5703125" style="157"/>
    <col min="2306" max="2306" width="6.28515625" style="157" customWidth="1"/>
    <col min="2307" max="2310" width="14.5703125" style="157" customWidth="1"/>
    <col min="2311" max="2311" width="13" style="157" customWidth="1"/>
    <col min="2312" max="2561" width="11.5703125" style="157"/>
    <col min="2562" max="2562" width="6.28515625" style="157" customWidth="1"/>
    <col min="2563" max="2566" width="14.5703125" style="157" customWidth="1"/>
    <col min="2567" max="2567" width="13" style="157" customWidth="1"/>
    <col min="2568" max="2817" width="11.5703125" style="157"/>
    <col min="2818" max="2818" width="6.28515625" style="157" customWidth="1"/>
    <col min="2819" max="2822" width="14.5703125" style="157" customWidth="1"/>
    <col min="2823" max="2823" width="13" style="157" customWidth="1"/>
    <col min="2824" max="3073" width="11.5703125" style="157"/>
    <col min="3074" max="3074" width="6.28515625" style="157" customWidth="1"/>
    <col min="3075" max="3078" width="14.5703125" style="157" customWidth="1"/>
    <col min="3079" max="3079" width="13" style="157" customWidth="1"/>
    <col min="3080" max="3329" width="11.5703125" style="157"/>
    <col min="3330" max="3330" width="6.28515625" style="157" customWidth="1"/>
    <col min="3331" max="3334" width="14.5703125" style="157" customWidth="1"/>
    <col min="3335" max="3335" width="13" style="157" customWidth="1"/>
    <col min="3336" max="3585" width="11.5703125" style="157"/>
    <col min="3586" max="3586" width="6.28515625" style="157" customWidth="1"/>
    <col min="3587" max="3590" width="14.5703125" style="157" customWidth="1"/>
    <col min="3591" max="3591" width="13" style="157" customWidth="1"/>
    <col min="3592" max="3841" width="11.5703125" style="157"/>
    <col min="3842" max="3842" width="6.28515625" style="157" customWidth="1"/>
    <col min="3843" max="3846" width="14.5703125" style="157" customWidth="1"/>
    <col min="3847" max="3847" width="13" style="157" customWidth="1"/>
    <col min="3848" max="4097" width="11.5703125" style="157"/>
    <col min="4098" max="4098" width="6.28515625" style="157" customWidth="1"/>
    <col min="4099" max="4102" width="14.5703125" style="157" customWidth="1"/>
    <col min="4103" max="4103" width="13" style="157" customWidth="1"/>
    <col min="4104" max="4353" width="11.5703125" style="157"/>
    <col min="4354" max="4354" width="6.28515625" style="157" customWidth="1"/>
    <col min="4355" max="4358" width="14.5703125" style="157" customWidth="1"/>
    <col min="4359" max="4359" width="13" style="157" customWidth="1"/>
    <col min="4360" max="4609" width="11.5703125" style="157"/>
    <col min="4610" max="4610" width="6.28515625" style="157" customWidth="1"/>
    <col min="4611" max="4614" width="14.5703125" style="157" customWidth="1"/>
    <col min="4615" max="4615" width="13" style="157" customWidth="1"/>
    <col min="4616" max="4865" width="11.5703125" style="157"/>
    <col min="4866" max="4866" width="6.28515625" style="157" customWidth="1"/>
    <col min="4867" max="4870" width="14.5703125" style="157" customWidth="1"/>
    <col min="4871" max="4871" width="13" style="157" customWidth="1"/>
    <col min="4872" max="5121" width="11.5703125" style="157"/>
    <col min="5122" max="5122" width="6.28515625" style="157" customWidth="1"/>
    <col min="5123" max="5126" width="14.5703125" style="157" customWidth="1"/>
    <col min="5127" max="5127" width="13" style="157" customWidth="1"/>
    <col min="5128" max="5377" width="11.5703125" style="157"/>
    <col min="5378" max="5378" width="6.28515625" style="157" customWidth="1"/>
    <col min="5379" max="5382" width="14.5703125" style="157" customWidth="1"/>
    <col min="5383" max="5383" width="13" style="157" customWidth="1"/>
    <col min="5384" max="5633" width="11.5703125" style="157"/>
    <col min="5634" max="5634" width="6.28515625" style="157" customWidth="1"/>
    <col min="5635" max="5638" width="14.5703125" style="157" customWidth="1"/>
    <col min="5639" max="5639" width="13" style="157" customWidth="1"/>
    <col min="5640" max="5889" width="11.5703125" style="157"/>
    <col min="5890" max="5890" width="6.28515625" style="157" customWidth="1"/>
    <col min="5891" max="5894" width="14.5703125" style="157" customWidth="1"/>
    <col min="5895" max="5895" width="13" style="157" customWidth="1"/>
    <col min="5896" max="6145" width="11.5703125" style="157"/>
    <col min="6146" max="6146" width="6.28515625" style="157" customWidth="1"/>
    <col min="6147" max="6150" width="14.5703125" style="157" customWidth="1"/>
    <col min="6151" max="6151" width="13" style="157" customWidth="1"/>
    <col min="6152" max="6401" width="11.5703125" style="157"/>
    <col min="6402" max="6402" width="6.28515625" style="157" customWidth="1"/>
    <col min="6403" max="6406" width="14.5703125" style="157" customWidth="1"/>
    <col min="6407" max="6407" width="13" style="157" customWidth="1"/>
    <col min="6408" max="6657" width="11.5703125" style="157"/>
    <col min="6658" max="6658" width="6.28515625" style="157" customWidth="1"/>
    <col min="6659" max="6662" width="14.5703125" style="157" customWidth="1"/>
    <col min="6663" max="6663" width="13" style="157" customWidth="1"/>
    <col min="6664" max="6913" width="11.5703125" style="157"/>
    <col min="6914" max="6914" width="6.28515625" style="157" customWidth="1"/>
    <col min="6915" max="6918" width="14.5703125" style="157" customWidth="1"/>
    <col min="6919" max="6919" width="13" style="157" customWidth="1"/>
    <col min="6920" max="7169" width="11.5703125" style="157"/>
    <col min="7170" max="7170" width="6.28515625" style="157" customWidth="1"/>
    <col min="7171" max="7174" width="14.5703125" style="157" customWidth="1"/>
    <col min="7175" max="7175" width="13" style="157" customWidth="1"/>
    <col min="7176" max="7425" width="11.5703125" style="157"/>
    <col min="7426" max="7426" width="6.28515625" style="157" customWidth="1"/>
    <col min="7427" max="7430" width="14.5703125" style="157" customWidth="1"/>
    <col min="7431" max="7431" width="13" style="157" customWidth="1"/>
    <col min="7432" max="7681" width="11.5703125" style="157"/>
    <col min="7682" max="7682" width="6.28515625" style="157" customWidth="1"/>
    <col min="7683" max="7686" width="14.5703125" style="157" customWidth="1"/>
    <col min="7687" max="7687" width="13" style="157" customWidth="1"/>
    <col min="7688" max="7937" width="11.5703125" style="157"/>
    <col min="7938" max="7938" width="6.28515625" style="157" customWidth="1"/>
    <col min="7939" max="7942" width="14.5703125" style="157" customWidth="1"/>
    <col min="7943" max="7943" width="13" style="157" customWidth="1"/>
    <col min="7944" max="8193" width="11.5703125" style="157"/>
    <col min="8194" max="8194" width="6.28515625" style="157" customWidth="1"/>
    <col min="8195" max="8198" width="14.5703125" style="157" customWidth="1"/>
    <col min="8199" max="8199" width="13" style="157" customWidth="1"/>
    <col min="8200" max="8449" width="11.5703125" style="157"/>
    <col min="8450" max="8450" width="6.28515625" style="157" customWidth="1"/>
    <col min="8451" max="8454" width="14.5703125" style="157" customWidth="1"/>
    <col min="8455" max="8455" width="13" style="157" customWidth="1"/>
    <col min="8456" max="8705" width="11.5703125" style="157"/>
    <col min="8706" max="8706" width="6.28515625" style="157" customWidth="1"/>
    <col min="8707" max="8710" width="14.5703125" style="157" customWidth="1"/>
    <col min="8711" max="8711" width="13" style="157" customWidth="1"/>
    <col min="8712" max="8961" width="11.5703125" style="157"/>
    <col min="8962" max="8962" width="6.28515625" style="157" customWidth="1"/>
    <col min="8963" max="8966" width="14.5703125" style="157" customWidth="1"/>
    <col min="8967" max="8967" width="13" style="157" customWidth="1"/>
    <col min="8968" max="9217" width="11.5703125" style="157"/>
    <col min="9218" max="9218" width="6.28515625" style="157" customWidth="1"/>
    <col min="9219" max="9222" width="14.5703125" style="157" customWidth="1"/>
    <col min="9223" max="9223" width="13" style="157" customWidth="1"/>
    <col min="9224" max="9473" width="11.5703125" style="157"/>
    <col min="9474" max="9474" width="6.28515625" style="157" customWidth="1"/>
    <col min="9475" max="9478" width="14.5703125" style="157" customWidth="1"/>
    <col min="9479" max="9479" width="13" style="157" customWidth="1"/>
    <col min="9480" max="9729" width="11.5703125" style="157"/>
    <col min="9730" max="9730" width="6.28515625" style="157" customWidth="1"/>
    <col min="9731" max="9734" width="14.5703125" style="157" customWidth="1"/>
    <col min="9735" max="9735" width="13" style="157" customWidth="1"/>
    <col min="9736" max="9985" width="11.5703125" style="157"/>
    <col min="9986" max="9986" width="6.28515625" style="157" customWidth="1"/>
    <col min="9987" max="9990" width="14.5703125" style="157" customWidth="1"/>
    <col min="9991" max="9991" width="13" style="157" customWidth="1"/>
    <col min="9992" max="10241" width="11.5703125" style="157"/>
    <col min="10242" max="10242" width="6.28515625" style="157" customWidth="1"/>
    <col min="10243" max="10246" width="14.5703125" style="157" customWidth="1"/>
    <col min="10247" max="10247" width="13" style="157" customWidth="1"/>
    <col min="10248" max="10497" width="11.5703125" style="157"/>
    <col min="10498" max="10498" width="6.28515625" style="157" customWidth="1"/>
    <col min="10499" max="10502" width="14.5703125" style="157" customWidth="1"/>
    <col min="10503" max="10503" width="13" style="157" customWidth="1"/>
    <col min="10504" max="10753" width="11.5703125" style="157"/>
    <col min="10754" max="10754" width="6.28515625" style="157" customWidth="1"/>
    <col min="10755" max="10758" width="14.5703125" style="157" customWidth="1"/>
    <col min="10759" max="10759" width="13" style="157" customWidth="1"/>
    <col min="10760" max="11009" width="11.5703125" style="157"/>
    <col min="11010" max="11010" width="6.28515625" style="157" customWidth="1"/>
    <col min="11011" max="11014" width="14.5703125" style="157" customWidth="1"/>
    <col min="11015" max="11015" width="13" style="157" customWidth="1"/>
    <col min="11016" max="11265" width="11.5703125" style="157"/>
    <col min="11266" max="11266" width="6.28515625" style="157" customWidth="1"/>
    <col min="11267" max="11270" width="14.5703125" style="157" customWidth="1"/>
    <col min="11271" max="11271" width="13" style="157" customWidth="1"/>
    <col min="11272" max="11521" width="11.5703125" style="157"/>
    <col min="11522" max="11522" width="6.28515625" style="157" customWidth="1"/>
    <col min="11523" max="11526" width="14.5703125" style="157" customWidth="1"/>
    <col min="11527" max="11527" width="13" style="157" customWidth="1"/>
    <col min="11528" max="11777" width="11.5703125" style="157"/>
    <col min="11778" max="11778" width="6.28515625" style="157" customWidth="1"/>
    <col min="11779" max="11782" width="14.5703125" style="157" customWidth="1"/>
    <col min="11783" max="11783" width="13" style="157" customWidth="1"/>
    <col min="11784" max="12033" width="11.5703125" style="157"/>
    <col min="12034" max="12034" width="6.28515625" style="157" customWidth="1"/>
    <col min="12035" max="12038" width="14.5703125" style="157" customWidth="1"/>
    <col min="12039" max="12039" width="13" style="157" customWidth="1"/>
    <col min="12040" max="12289" width="11.5703125" style="157"/>
    <col min="12290" max="12290" width="6.28515625" style="157" customWidth="1"/>
    <col min="12291" max="12294" width="14.5703125" style="157" customWidth="1"/>
    <col min="12295" max="12295" width="13" style="157" customWidth="1"/>
    <col min="12296" max="12545" width="11.5703125" style="157"/>
    <col min="12546" max="12546" width="6.28515625" style="157" customWidth="1"/>
    <col min="12547" max="12550" width="14.5703125" style="157" customWidth="1"/>
    <col min="12551" max="12551" width="13" style="157" customWidth="1"/>
    <col min="12552" max="12801" width="11.5703125" style="157"/>
    <col min="12802" max="12802" width="6.28515625" style="157" customWidth="1"/>
    <col min="12803" max="12806" width="14.5703125" style="157" customWidth="1"/>
    <col min="12807" max="12807" width="13" style="157" customWidth="1"/>
    <col min="12808" max="13057" width="11.5703125" style="157"/>
    <col min="13058" max="13058" width="6.28515625" style="157" customWidth="1"/>
    <col min="13059" max="13062" width="14.5703125" style="157" customWidth="1"/>
    <col min="13063" max="13063" width="13" style="157" customWidth="1"/>
    <col min="13064" max="13313" width="11.5703125" style="157"/>
    <col min="13314" max="13314" width="6.28515625" style="157" customWidth="1"/>
    <col min="13315" max="13318" width="14.5703125" style="157" customWidth="1"/>
    <col min="13319" max="13319" width="13" style="157" customWidth="1"/>
    <col min="13320" max="13569" width="11.5703125" style="157"/>
    <col min="13570" max="13570" width="6.28515625" style="157" customWidth="1"/>
    <col min="13571" max="13574" width="14.5703125" style="157" customWidth="1"/>
    <col min="13575" max="13575" width="13" style="157" customWidth="1"/>
    <col min="13576" max="13825" width="11.5703125" style="157"/>
    <col min="13826" max="13826" width="6.28515625" style="157" customWidth="1"/>
    <col min="13827" max="13830" width="14.5703125" style="157" customWidth="1"/>
    <col min="13831" max="13831" width="13" style="157" customWidth="1"/>
    <col min="13832" max="14081" width="11.5703125" style="157"/>
    <col min="14082" max="14082" width="6.28515625" style="157" customWidth="1"/>
    <col min="14083" max="14086" width="14.5703125" style="157" customWidth="1"/>
    <col min="14087" max="14087" width="13" style="157" customWidth="1"/>
    <col min="14088" max="14337" width="11.5703125" style="157"/>
    <col min="14338" max="14338" width="6.28515625" style="157" customWidth="1"/>
    <col min="14339" max="14342" width="14.5703125" style="157" customWidth="1"/>
    <col min="14343" max="14343" width="13" style="157" customWidth="1"/>
    <col min="14344" max="14593" width="11.5703125" style="157"/>
    <col min="14594" max="14594" width="6.28515625" style="157" customWidth="1"/>
    <col min="14595" max="14598" width="14.5703125" style="157" customWidth="1"/>
    <col min="14599" max="14599" width="13" style="157" customWidth="1"/>
    <col min="14600" max="14849" width="11.5703125" style="157"/>
    <col min="14850" max="14850" width="6.28515625" style="157" customWidth="1"/>
    <col min="14851" max="14854" width="14.5703125" style="157" customWidth="1"/>
    <col min="14855" max="14855" width="13" style="157" customWidth="1"/>
    <col min="14856" max="15105" width="11.5703125" style="157"/>
    <col min="15106" max="15106" width="6.28515625" style="157" customWidth="1"/>
    <col min="15107" max="15110" width="14.5703125" style="157" customWidth="1"/>
    <col min="15111" max="15111" width="13" style="157" customWidth="1"/>
    <col min="15112" max="15361" width="11.5703125" style="157"/>
    <col min="15362" max="15362" width="6.28515625" style="157" customWidth="1"/>
    <col min="15363" max="15366" width="14.5703125" style="157" customWidth="1"/>
    <col min="15367" max="15367" width="13" style="157" customWidth="1"/>
    <col min="15368" max="15617" width="11.5703125" style="157"/>
    <col min="15618" max="15618" width="6.28515625" style="157" customWidth="1"/>
    <col min="15619" max="15622" width="14.5703125" style="157" customWidth="1"/>
    <col min="15623" max="15623" width="13" style="157" customWidth="1"/>
    <col min="15624" max="15873" width="11.5703125" style="157"/>
    <col min="15874" max="15874" width="6.28515625" style="157" customWidth="1"/>
    <col min="15875" max="15878" width="14.5703125" style="157" customWidth="1"/>
    <col min="15879" max="15879" width="13" style="157" customWidth="1"/>
    <col min="15880" max="16129" width="11.5703125" style="157"/>
    <col min="16130" max="16130" width="6.28515625" style="157" customWidth="1"/>
    <col min="16131" max="16134" width="14.5703125" style="157" customWidth="1"/>
    <col min="16135" max="16135" width="13" style="157" customWidth="1"/>
    <col min="16136" max="16384" width="11.5703125" style="157"/>
  </cols>
  <sheetData>
    <row r="1" spans="2:11" s="156" customFormat="1" ht="37.5" customHeight="1">
      <c r="B1" s="450"/>
      <c r="C1" s="359" t="s">
        <v>124</v>
      </c>
      <c r="D1" s="451"/>
      <c r="E1" s="451"/>
      <c r="F1" s="451"/>
    </row>
    <row r="2" spans="2:11" ht="5.25" customHeight="1" thickBot="1">
      <c r="B2" s="41"/>
      <c r="C2" s="41"/>
      <c r="D2" s="41"/>
      <c r="E2" s="41"/>
      <c r="F2" s="41"/>
    </row>
    <row r="3" spans="2:11" ht="21.75" customHeight="1">
      <c r="B3" s="1222" t="s">
        <v>1</v>
      </c>
      <c r="C3" s="1296" t="s">
        <v>125</v>
      </c>
      <c r="D3" s="1226" t="s">
        <v>126</v>
      </c>
      <c r="E3" s="1226" t="s">
        <v>127</v>
      </c>
      <c r="F3" s="1226" t="s">
        <v>128</v>
      </c>
    </row>
    <row r="4" spans="2:11" s="158" customFormat="1" ht="36.75" customHeight="1" thickBot="1">
      <c r="B4" s="1223"/>
      <c r="C4" s="1297"/>
      <c r="D4" s="1227"/>
      <c r="E4" s="1227"/>
      <c r="F4" s="1227"/>
      <c r="G4" s="165"/>
      <c r="H4" s="166"/>
      <c r="I4" s="157"/>
      <c r="J4" s="157"/>
      <c r="K4" s="157"/>
    </row>
    <row r="5" spans="2:11" ht="20.25" customHeight="1">
      <c r="B5" s="452">
        <v>1</v>
      </c>
      <c r="C5" s="565">
        <f>'TS - 14 R1 FAT 2'!H5</f>
        <v>2302818.334183454</v>
      </c>
      <c r="D5" s="565">
        <f>C5-(C5*E5)</f>
        <v>2072536.5007651085</v>
      </c>
      <c r="E5" s="453">
        <v>0.1</v>
      </c>
      <c r="F5" s="565">
        <f>C5-D5</f>
        <v>230281.83341834554</v>
      </c>
      <c r="G5" s="167"/>
      <c r="H5" s="159">
        <f>-F5</f>
        <v>-230281.83341834554</v>
      </c>
      <c r="J5" s="168">
        <v>-238486.40294756182</v>
      </c>
      <c r="K5" s="168"/>
    </row>
    <row r="6" spans="2:11" ht="20.25" customHeight="1">
      <c r="B6" s="454">
        <v>2</v>
      </c>
      <c r="C6" s="566">
        <f>'TS - 14 R1 FAT 2'!H6</f>
        <v>2589085.4613156808</v>
      </c>
      <c r="D6" s="566">
        <f>C6-(C6*E6)</f>
        <v>2330176.9151841127</v>
      </c>
      <c r="E6" s="455">
        <v>0.1</v>
      </c>
      <c r="F6" s="566">
        <f>C6-D6</f>
        <v>258908.54613156803</v>
      </c>
      <c r="G6" s="167"/>
      <c r="H6" s="159">
        <f>F6-F5</f>
        <v>28626.712713222485</v>
      </c>
      <c r="J6" s="168">
        <v>0</v>
      </c>
      <c r="K6" s="168"/>
    </row>
    <row r="7" spans="2:11" ht="20.25" customHeight="1">
      <c r="B7" s="454">
        <v>3</v>
      </c>
      <c r="C7" s="566">
        <f>'TS - 14 R1 FAT 2'!H7</f>
        <v>2818858.1047381544</v>
      </c>
      <c r="D7" s="566">
        <f t="shared" ref="D7:D34" si="0">C7-(C7*E7)</f>
        <v>2593349.4563591019</v>
      </c>
      <c r="E7" s="455">
        <v>0.08</v>
      </c>
      <c r="F7" s="566">
        <f t="shared" ref="F7:F34" si="1">C7-D7</f>
        <v>225508.64837905252</v>
      </c>
      <c r="G7" s="167"/>
      <c r="H7" s="159">
        <f t="shared" ref="H7:H34" si="2">F7-F6</f>
        <v>-33399.897752515506</v>
      </c>
      <c r="J7" s="168">
        <v>35962.389189561363</v>
      </c>
      <c r="K7" s="168"/>
    </row>
    <row r="8" spans="2:11" ht="20.25" customHeight="1">
      <c r="B8" s="454">
        <v>4</v>
      </c>
      <c r="C8" s="949">
        <f>'TS - 14 R1 FAT 2'!H8</f>
        <v>2920406.9946195232</v>
      </c>
      <c r="D8" s="949">
        <f t="shared" si="0"/>
        <v>2715978.5049961563</v>
      </c>
      <c r="E8" s="455">
        <v>7.0000000000000007E-2</v>
      </c>
      <c r="F8" s="949">
        <f t="shared" si="1"/>
        <v>204428.48962336686</v>
      </c>
      <c r="G8" s="167"/>
      <c r="H8" s="159">
        <f t="shared" si="2"/>
        <v>-21080.158755685668</v>
      </c>
      <c r="J8" s="168">
        <v>13248.704974922817</v>
      </c>
      <c r="K8" s="168"/>
    </row>
    <row r="9" spans="2:11" ht="20.25" customHeight="1">
      <c r="B9" s="454">
        <v>5</v>
      </c>
      <c r="C9" s="949">
        <f>'TS - 14 R1 FAT 2'!H9</f>
        <v>2997193.0318223308</v>
      </c>
      <c r="D9" s="949">
        <f t="shared" si="0"/>
        <v>2817361.4499129909</v>
      </c>
      <c r="E9" s="455">
        <v>0.06</v>
      </c>
      <c r="F9" s="949">
        <f t="shared" si="1"/>
        <v>179831.58190933987</v>
      </c>
      <c r="G9" s="167"/>
      <c r="H9" s="159">
        <f t="shared" si="2"/>
        <v>-24596.90771402698</v>
      </c>
      <c r="J9" s="168">
        <v>17139.348440977745</v>
      </c>
      <c r="K9" s="168"/>
    </row>
    <row r="10" spans="2:11" ht="20.25" customHeight="1">
      <c r="B10" s="454">
        <v>6</v>
      </c>
      <c r="C10" s="949">
        <f>'TS - 14 R1 FAT 2'!H10</f>
        <v>3337701.3218688015</v>
      </c>
      <c r="D10" s="949">
        <f t="shared" si="0"/>
        <v>3170816.2557753613</v>
      </c>
      <c r="E10" s="455">
        <v>0.05</v>
      </c>
      <c r="F10" s="949">
        <f>C10-D10</f>
        <v>166885.06609344017</v>
      </c>
      <c r="G10" s="167"/>
      <c r="H10" s="159">
        <f t="shared" si="2"/>
        <v>-12946.515815899707</v>
      </c>
      <c r="J10" s="168">
        <v>21283.397586023901</v>
      </c>
      <c r="K10" s="168"/>
    </row>
    <row r="11" spans="2:11" ht="20.25" customHeight="1">
      <c r="B11" s="454">
        <v>7</v>
      </c>
      <c r="C11" s="949">
        <f>'TS - 14 R1 FAT 2'!H11</f>
        <v>3754425.2392501896</v>
      </c>
      <c r="D11" s="949">
        <f t="shared" si="0"/>
        <v>3566703.9772876799</v>
      </c>
      <c r="E11" s="455">
        <f>E10</f>
        <v>0.05</v>
      </c>
      <c r="F11" s="949">
        <f t="shared" si="1"/>
        <v>187721.26196250971</v>
      </c>
      <c r="G11" s="167"/>
      <c r="H11" s="159">
        <f t="shared" si="2"/>
        <v>20836.195869069546</v>
      </c>
      <c r="J11" s="168">
        <v>-8388.7210236010142</v>
      </c>
      <c r="K11" s="168"/>
    </row>
    <row r="12" spans="2:11" ht="20.25" customHeight="1">
      <c r="B12" s="454">
        <v>8</v>
      </c>
      <c r="C12" s="949">
        <f>'TS - 14 R1 FAT 2'!H12</f>
        <v>4064222.9161874908</v>
      </c>
      <c r="D12" s="949">
        <f t="shared" si="0"/>
        <v>3861011.7703781161</v>
      </c>
      <c r="E12" s="455">
        <f t="shared" ref="E12:E34" si="3">E11</f>
        <v>0.05</v>
      </c>
      <c r="F12" s="949">
        <f t="shared" si="1"/>
        <v>203211.14580937475</v>
      </c>
      <c r="G12" s="167"/>
      <c r="H12" s="159">
        <f t="shared" si="2"/>
        <v>15489.883846865036</v>
      </c>
      <c r="J12" s="168">
        <v>-5592.4616223280318</v>
      </c>
      <c r="K12" s="168"/>
    </row>
    <row r="13" spans="2:11" ht="20.25" customHeight="1">
      <c r="B13" s="454">
        <v>9</v>
      </c>
      <c r="C13" s="949">
        <f>'TS - 14 R1 FAT 2'!H13</f>
        <v>4086433.9881801065</v>
      </c>
      <c r="D13" s="949">
        <f t="shared" si="0"/>
        <v>3882112.2887711013</v>
      </c>
      <c r="E13" s="455">
        <f t="shared" si="3"/>
        <v>0.05</v>
      </c>
      <c r="F13" s="949">
        <f t="shared" si="1"/>
        <v>204321.69940900523</v>
      </c>
      <c r="G13" s="167"/>
      <c r="H13" s="159">
        <f t="shared" si="2"/>
        <v>1110.5535996304825</v>
      </c>
      <c r="J13" s="168">
        <v>-5209.5752456956543</v>
      </c>
      <c r="K13" s="168"/>
    </row>
    <row r="14" spans="2:11" ht="20.25" customHeight="1">
      <c r="B14" s="454">
        <v>10</v>
      </c>
      <c r="C14" s="949">
        <f>'TS - 14 R1 FAT 2'!H14</f>
        <v>4263700.8666541139</v>
      </c>
      <c r="D14" s="949">
        <f t="shared" si="0"/>
        <v>4050515.8233214081</v>
      </c>
      <c r="E14" s="455">
        <f t="shared" si="3"/>
        <v>0.05</v>
      </c>
      <c r="F14" s="949">
        <f t="shared" si="1"/>
        <v>213185.04333270574</v>
      </c>
      <c r="G14" s="167"/>
      <c r="H14" s="159">
        <f t="shared" si="2"/>
        <v>8863.3439237005077</v>
      </c>
      <c r="J14" s="168">
        <v>-2543.2937502372079</v>
      </c>
      <c r="K14" s="168"/>
    </row>
    <row r="15" spans="2:11" ht="20.25" customHeight="1">
      <c r="B15" s="454">
        <v>11</v>
      </c>
      <c r="C15" s="949">
        <f>'TS - 14 R1 FAT 2'!H15</f>
        <v>4460340.6598898321</v>
      </c>
      <c r="D15" s="949">
        <f t="shared" si="0"/>
        <v>4237323.6268953402</v>
      </c>
      <c r="E15" s="455">
        <f t="shared" si="3"/>
        <v>0.05</v>
      </c>
      <c r="F15" s="949">
        <f t="shared" si="1"/>
        <v>223017.03299449198</v>
      </c>
      <c r="G15" s="167"/>
      <c r="H15" s="159">
        <f t="shared" si="2"/>
        <v>9831.9896617862396</v>
      </c>
      <c r="J15" s="168">
        <v>-271.50124888448045</v>
      </c>
      <c r="K15" s="168"/>
    </row>
    <row r="16" spans="2:11" ht="20.25" customHeight="1">
      <c r="B16" s="454">
        <v>12</v>
      </c>
      <c r="C16" s="949">
        <f>'TS - 14 R1 FAT 2'!H16</f>
        <v>4760710.5303800935</v>
      </c>
      <c r="D16" s="949">
        <f t="shared" si="0"/>
        <v>4522675.0038610892</v>
      </c>
      <c r="E16" s="455">
        <f t="shared" si="3"/>
        <v>0.05</v>
      </c>
      <c r="F16" s="949">
        <f t="shared" si="1"/>
        <v>238035.52651900426</v>
      </c>
      <c r="G16" s="167"/>
      <c r="H16" s="159">
        <f t="shared" si="2"/>
        <v>15018.493524512276</v>
      </c>
      <c r="J16" s="168">
        <v>-262.21915490599349</v>
      </c>
      <c r="K16" s="168"/>
    </row>
    <row r="17" spans="2:11" ht="20.25" customHeight="1">
      <c r="B17" s="454">
        <v>13</v>
      </c>
      <c r="C17" s="949">
        <f>'TS - 14 R1 FAT 2'!H17</f>
        <v>4767563.7605101988</v>
      </c>
      <c r="D17" s="949">
        <f t="shared" si="0"/>
        <v>4529185.5724846888</v>
      </c>
      <c r="E17" s="455">
        <f t="shared" si="3"/>
        <v>0.05</v>
      </c>
      <c r="F17" s="949">
        <f t="shared" si="1"/>
        <v>238378.18802550994</v>
      </c>
      <c r="G17" s="167"/>
      <c r="H17" s="159">
        <f t="shared" si="2"/>
        <v>342.66150650568306</v>
      </c>
      <c r="J17" s="168">
        <v>-250.61653743218631</v>
      </c>
      <c r="K17" s="168"/>
    </row>
    <row r="18" spans="2:11" ht="20.25" customHeight="1">
      <c r="B18" s="454">
        <v>14</v>
      </c>
      <c r="C18" s="949">
        <f>'TS - 14 R1 FAT 2'!H18</f>
        <v>4774416.9906403041</v>
      </c>
      <c r="D18" s="949">
        <f t="shared" si="0"/>
        <v>4535696.1411082884</v>
      </c>
      <c r="E18" s="455">
        <f t="shared" si="3"/>
        <v>0.05</v>
      </c>
      <c r="F18" s="949">
        <f t="shared" si="1"/>
        <v>238720.84953201562</v>
      </c>
      <c r="G18" s="167"/>
      <c r="H18" s="159">
        <f t="shared" si="2"/>
        <v>342.66150650568306</v>
      </c>
      <c r="J18" s="168">
        <v>-250.61653743218631</v>
      </c>
      <c r="K18" s="168"/>
    </row>
    <row r="19" spans="2:11" ht="20.25" customHeight="1">
      <c r="B19" s="454">
        <v>15</v>
      </c>
      <c r="C19" s="949">
        <f>'TS - 14 R1 FAT 2'!H19</f>
        <v>4781270.2207704112</v>
      </c>
      <c r="D19" s="949">
        <f t="shared" si="0"/>
        <v>4542206.7097318908</v>
      </c>
      <c r="E19" s="455">
        <f t="shared" si="3"/>
        <v>0.05</v>
      </c>
      <c r="F19" s="949">
        <f t="shared" si="1"/>
        <v>239063.51103852037</v>
      </c>
      <c r="G19" s="167"/>
      <c r="H19" s="159">
        <f t="shared" si="2"/>
        <v>342.66150650475174</v>
      </c>
      <c r="J19" s="168">
        <v>-250.61653743218631</v>
      </c>
      <c r="K19" s="168"/>
    </row>
    <row r="20" spans="2:11" ht="20.25" customHeight="1">
      <c r="B20" s="454">
        <v>16</v>
      </c>
      <c r="C20" s="949">
        <f>'TS - 14 R1 FAT 2'!H20</f>
        <v>4787552.348389673</v>
      </c>
      <c r="D20" s="949">
        <f t="shared" si="0"/>
        <v>4548174.730970189</v>
      </c>
      <c r="E20" s="455">
        <f t="shared" si="3"/>
        <v>0.05</v>
      </c>
      <c r="F20" s="949">
        <f t="shared" si="1"/>
        <v>239377.61741948407</v>
      </c>
      <c r="G20" s="167"/>
      <c r="H20" s="159">
        <f t="shared" si="2"/>
        <v>314.10638096369803</v>
      </c>
      <c r="J20" s="168">
        <v>-250.61653743218631</v>
      </c>
      <c r="K20" s="168"/>
    </row>
    <row r="21" spans="2:11" ht="20.25" customHeight="1">
      <c r="B21" s="454">
        <v>17</v>
      </c>
      <c r="C21" s="949">
        <f>'TS - 14 R1 FAT 2'!H21</f>
        <v>4793263.3734980952</v>
      </c>
      <c r="D21" s="949">
        <f t="shared" si="0"/>
        <v>4553600.2048231903</v>
      </c>
      <c r="E21" s="455">
        <f t="shared" si="3"/>
        <v>0.05</v>
      </c>
      <c r="F21" s="949">
        <f t="shared" si="1"/>
        <v>239663.16867490485</v>
      </c>
      <c r="G21" s="167"/>
      <c r="H21" s="159">
        <f t="shared" si="2"/>
        <v>285.55125542078167</v>
      </c>
      <c r="J21" s="168">
        <v>-229.73182597896084</v>
      </c>
      <c r="K21" s="168"/>
    </row>
    <row r="22" spans="2:11" ht="20.25" customHeight="1">
      <c r="B22" s="454">
        <v>18</v>
      </c>
      <c r="C22" s="949">
        <f>'TS - 14 R1 FAT 2'!H22</f>
        <v>4798974.3986065155</v>
      </c>
      <c r="D22" s="949">
        <f t="shared" si="0"/>
        <v>4559025.6786761899</v>
      </c>
      <c r="E22" s="455">
        <f t="shared" si="3"/>
        <v>0.05</v>
      </c>
      <c r="F22" s="949">
        <f t="shared" si="1"/>
        <v>239948.71993032563</v>
      </c>
      <c r="G22" s="167"/>
      <c r="H22" s="159">
        <f t="shared" si="2"/>
        <v>285.55125542078167</v>
      </c>
      <c r="J22" s="168">
        <v>-208.84711452713236</v>
      </c>
      <c r="K22" s="168"/>
    </row>
    <row r="23" spans="2:11" s="158" customFormat="1" ht="20.25" customHeight="1">
      <c r="B23" s="454">
        <v>19</v>
      </c>
      <c r="C23" s="949">
        <f>'TS - 14 R1 FAT 2'!H23</f>
        <v>4804685.4237149358</v>
      </c>
      <c r="D23" s="949">
        <f t="shared" si="0"/>
        <v>4564451.1525291894</v>
      </c>
      <c r="E23" s="455">
        <f t="shared" si="3"/>
        <v>0.05</v>
      </c>
      <c r="F23" s="949">
        <f t="shared" si="1"/>
        <v>240234.27118574642</v>
      </c>
      <c r="G23" s="167"/>
      <c r="H23" s="159">
        <f t="shared" si="2"/>
        <v>285.55125542078167</v>
      </c>
      <c r="I23" s="157"/>
      <c r="J23" s="168">
        <v>-208.8471145266667</v>
      </c>
      <c r="K23" s="168"/>
    </row>
    <row r="24" spans="2:11" ht="20.25" customHeight="1">
      <c r="B24" s="454">
        <v>20</v>
      </c>
      <c r="C24" s="949">
        <f>'TS - 14 R1 FAT 2'!H24</f>
        <v>4809825.3463125164</v>
      </c>
      <c r="D24" s="949">
        <f t="shared" si="0"/>
        <v>4569334.0789968902</v>
      </c>
      <c r="E24" s="455">
        <f t="shared" si="3"/>
        <v>0.05</v>
      </c>
      <c r="F24" s="949">
        <f t="shared" si="1"/>
        <v>240491.26731562614</v>
      </c>
      <c r="G24" s="167"/>
      <c r="H24" s="159">
        <f t="shared" si="2"/>
        <v>256.99612987972796</v>
      </c>
      <c r="J24" s="168">
        <v>-199.56502054771408</v>
      </c>
      <c r="K24" s="168"/>
    </row>
    <row r="25" spans="2:11" ht="20.25" customHeight="1">
      <c r="B25" s="454">
        <v>21</v>
      </c>
      <c r="C25" s="949">
        <f>'TS - 14 R1 FAT 2'!H25</f>
        <v>4816107.4739317819</v>
      </c>
      <c r="D25" s="949">
        <f t="shared" si="0"/>
        <v>4575302.100235193</v>
      </c>
      <c r="E25" s="455">
        <f t="shared" si="3"/>
        <v>0.05</v>
      </c>
      <c r="F25" s="949">
        <f t="shared" si="1"/>
        <v>240805.37369658891</v>
      </c>
      <c r="G25" s="167"/>
      <c r="H25" s="159">
        <f t="shared" si="2"/>
        <v>314.10638096276671</v>
      </c>
      <c r="J25" s="168">
        <v>-187.96240307437256</v>
      </c>
      <c r="K25" s="168"/>
    </row>
    <row r="26" spans="2:11" ht="20.25" customHeight="1">
      <c r="B26" s="454">
        <v>22</v>
      </c>
      <c r="C26" s="949">
        <f>'TS - 14 R1 FAT 2'!H26</f>
        <v>4822389.6015510447</v>
      </c>
      <c r="D26" s="949">
        <f t="shared" si="0"/>
        <v>4581270.1214734921</v>
      </c>
      <c r="E26" s="455">
        <f t="shared" si="3"/>
        <v>0.05</v>
      </c>
      <c r="F26" s="949">
        <f t="shared" si="1"/>
        <v>241119.48007755261</v>
      </c>
      <c r="G26" s="167"/>
      <c r="H26" s="159">
        <f t="shared" si="2"/>
        <v>314.10638096369803</v>
      </c>
      <c r="J26" s="168">
        <v>-229.7318259794265</v>
      </c>
      <c r="K26" s="168"/>
    </row>
    <row r="27" spans="2:11" s="158" customFormat="1" ht="20.25" customHeight="1">
      <c r="B27" s="454">
        <v>23</v>
      </c>
      <c r="C27" s="949">
        <f>'TS - 14 R1 FAT 2'!H27</f>
        <v>4826958.4216377819</v>
      </c>
      <c r="D27" s="949">
        <f t="shared" si="0"/>
        <v>4585610.5005558925</v>
      </c>
      <c r="E27" s="455">
        <f t="shared" si="3"/>
        <v>0.05</v>
      </c>
      <c r="F27" s="949">
        <f t="shared" si="1"/>
        <v>241347.92108188942</v>
      </c>
      <c r="G27" s="167"/>
      <c r="H27" s="159">
        <f t="shared" si="2"/>
        <v>228.4410043368116</v>
      </c>
      <c r="I27" s="157"/>
      <c r="J27" s="168">
        <v>-220.44973200047389</v>
      </c>
      <c r="K27" s="168"/>
    </row>
    <row r="28" spans="2:11" s="158" customFormat="1" ht="20.25" customHeight="1">
      <c r="B28" s="454">
        <v>24</v>
      </c>
      <c r="C28" s="949">
        <f>'TS - 14 R1 FAT 2'!H28</f>
        <v>4831527.2417245191</v>
      </c>
      <c r="D28" s="949">
        <f t="shared" si="0"/>
        <v>4589950.8796382928</v>
      </c>
      <c r="E28" s="455">
        <f t="shared" si="3"/>
        <v>0.05</v>
      </c>
      <c r="F28" s="949">
        <f t="shared" si="1"/>
        <v>241576.36208622623</v>
      </c>
      <c r="G28" s="167"/>
      <c r="H28" s="159">
        <f t="shared" si="2"/>
        <v>228.4410043368116</v>
      </c>
      <c r="I28" s="157"/>
      <c r="J28" s="168">
        <v>-167.0776916211471</v>
      </c>
      <c r="K28" s="168"/>
    </row>
    <row r="29" spans="2:11" ht="20.25" customHeight="1">
      <c r="B29" s="454">
        <v>25</v>
      </c>
      <c r="C29" s="949">
        <f>'TS - 14 R1 FAT 2'!H29</f>
        <v>4836096.0618112553</v>
      </c>
      <c r="D29" s="949">
        <f t="shared" si="0"/>
        <v>4594291.2587206922</v>
      </c>
      <c r="E29" s="455">
        <f t="shared" si="3"/>
        <v>0.05</v>
      </c>
      <c r="F29" s="949">
        <f t="shared" si="1"/>
        <v>241804.80309056304</v>
      </c>
      <c r="G29" s="167"/>
      <c r="H29" s="159">
        <f t="shared" si="2"/>
        <v>228.4410043368116</v>
      </c>
      <c r="J29" s="168">
        <v>-176.35978560056537</v>
      </c>
      <c r="K29" s="168"/>
    </row>
    <row r="30" spans="2:11" ht="20.25" customHeight="1">
      <c r="B30" s="454">
        <v>26</v>
      </c>
      <c r="C30" s="949">
        <f>'TS - 14 R1 FAT 2'!H30</f>
        <v>4841807.0869196784</v>
      </c>
      <c r="D30" s="949">
        <f t="shared" si="0"/>
        <v>4599716.7325736945</v>
      </c>
      <c r="E30" s="455">
        <f t="shared" si="3"/>
        <v>0.05</v>
      </c>
      <c r="F30" s="949">
        <f t="shared" si="1"/>
        <v>242090.35434598383</v>
      </c>
      <c r="G30" s="167"/>
      <c r="H30" s="159">
        <f t="shared" si="2"/>
        <v>285.55125542078167</v>
      </c>
      <c r="J30" s="168">
        <v>-176.35978560056537</v>
      </c>
      <c r="K30" s="168"/>
    </row>
    <row r="31" spans="2:11" ht="20.25" customHeight="1">
      <c r="B31" s="454">
        <v>27</v>
      </c>
      <c r="C31" s="949">
        <f>'TS - 14 R1 FAT 2'!H31</f>
        <v>4847518.1120280977</v>
      </c>
      <c r="D31" s="949">
        <f t="shared" si="0"/>
        <v>4605142.2064266931</v>
      </c>
      <c r="E31" s="455">
        <f t="shared" si="3"/>
        <v>0.05</v>
      </c>
      <c r="F31" s="949">
        <f t="shared" si="1"/>
        <v>242375.90560140461</v>
      </c>
      <c r="G31" s="167"/>
      <c r="H31" s="159">
        <f t="shared" si="2"/>
        <v>285.55125542078167</v>
      </c>
      <c r="J31" s="168">
        <v>-208.8471145266667</v>
      </c>
      <c r="K31" s="168"/>
    </row>
    <row r="32" spans="2:11" ht="20.25" customHeight="1">
      <c r="B32" s="454">
        <v>28</v>
      </c>
      <c r="C32" s="949">
        <f>'TS - 14 R1 FAT 2'!H32</f>
        <v>4852658.0346256765</v>
      </c>
      <c r="D32" s="949">
        <f t="shared" si="0"/>
        <v>4610025.1328943931</v>
      </c>
      <c r="E32" s="455">
        <f t="shared" si="3"/>
        <v>0.05</v>
      </c>
      <c r="F32" s="949">
        <f t="shared" si="1"/>
        <v>242632.9017312834</v>
      </c>
      <c r="G32" s="167"/>
      <c r="H32" s="159">
        <f t="shared" si="2"/>
        <v>256.99612987879664</v>
      </c>
      <c r="J32" s="168">
        <v>-208.8471145266667</v>
      </c>
      <c r="K32" s="168"/>
    </row>
    <row r="33" spans="2:11" ht="20.25" customHeight="1">
      <c r="B33" s="454">
        <v>29</v>
      </c>
      <c r="C33" s="949">
        <f>'TS - 14 R1 FAT 2'!H33</f>
        <v>4858369.0597340995</v>
      </c>
      <c r="D33" s="949">
        <f t="shared" si="0"/>
        <v>4615450.6067473944</v>
      </c>
      <c r="E33" s="455">
        <f t="shared" si="3"/>
        <v>0.05</v>
      </c>
      <c r="F33" s="949">
        <f t="shared" si="1"/>
        <v>242918.45298670512</v>
      </c>
      <c r="G33" s="167"/>
      <c r="H33" s="159">
        <f t="shared" si="2"/>
        <v>285.55125542171299</v>
      </c>
      <c r="J33" s="168">
        <v>-178.68030909495428</v>
      </c>
      <c r="K33" s="168"/>
    </row>
    <row r="34" spans="2:11" ht="20.25" customHeight="1" thickBot="1">
      <c r="B34" s="456">
        <v>30</v>
      </c>
      <c r="C34" s="950">
        <f>'TS - 14 R1 FAT 2'!H34</f>
        <v>4862366.7773099951</v>
      </c>
      <c r="D34" s="949">
        <f t="shared" si="0"/>
        <v>4619248.4384444952</v>
      </c>
      <c r="E34" s="455">
        <f t="shared" si="3"/>
        <v>0.05</v>
      </c>
      <c r="F34" s="949">
        <f t="shared" si="1"/>
        <v>243118.33886549994</v>
      </c>
      <c r="G34" s="167"/>
      <c r="H34" s="159">
        <f t="shared" si="2"/>
        <v>199.88587879482657</v>
      </c>
      <c r="J34" s="168">
        <v>-199.56502054817975</v>
      </c>
      <c r="K34" s="168"/>
    </row>
    <row r="35" spans="2:11" ht="20.25" customHeight="1" thickBot="1">
      <c r="B35" s="457" t="s">
        <v>121</v>
      </c>
      <c r="C35" s="945">
        <f>SUM(C5:C34)</f>
        <v>129069247.18280636</v>
      </c>
      <c r="D35" s="945">
        <f>SUM(D5:D34)</f>
        <v>122198243.82053833</v>
      </c>
      <c r="E35" s="446"/>
      <c r="F35" s="945">
        <f>SUM(F5:F34)</f>
        <v>6871003.3622680344</v>
      </c>
      <c r="G35" s="167"/>
      <c r="H35" s="159">
        <f>SUM(H5:H34)</f>
        <v>-217445.32797119115</v>
      </c>
      <c r="J35" s="168">
        <f>SUM(J5:J34)</f>
        <v>-176923.67280961061</v>
      </c>
    </row>
    <row r="36" spans="2:11">
      <c r="J36" s="227">
        <v>-176923.67280961061</v>
      </c>
    </row>
  </sheetData>
  <mergeCells count="5">
    <mergeCell ref="B3:B4"/>
    <mergeCell ref="C3:C4"/>
    <mergeCell ref="D3:D4"/>
    <mergeCell ref="E3:E4"/>
    <mergeCell ref="F3:F4"/>
  </mergeCells>
  <printOptions horizontalCentered="1"/>
  <pageMargins left="0.98425196850393704" right="0.59055118110236227" top="1.9685039370078741" bottom="1.0629921259842521" header="0.39370078740157483" footer="0.39370078740157483"/>
  <pageSetup paperSize="9" scale="82" orientation="portrait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50">
    <tabColor rgb="FF7030A0"/>
    <pageSetUpPr fitToPage="1"/>
  </sheetPr>
  <dimension ref="B1:AA43"/>
  <sheetViews>
    <sheetView showGridLines="0" topLeftCell="A3" workbookViewId="0">
      <selection activeCell="E9" sqref="E9"/>
    </sheetView>
  </sheetViews>
  <sheetFormatPr defaultColWidth="11.5703125" defaultRowHeight="12.75"/>
  <cols>
    <col min="1" max="1" width="2.7109375" style="157" customWidth="1"/>
    <col min="2" max="2" width="8" style="157" customWidth="1"/>
    <col min="3" max="11" width="15.140625" style="157" customWidth="1"/>
    <col min="12" max="12" width="2.7109375" style="157" customWidth="1"/>
    <col min="13" max="13" width="15.5703125" style="157" customWidth="1"/>
    <col min="14" max="14" width="13.7109375" style="157" customWidth="1"/>
    <col min="15" max="15" width="11.5703125" style="157" customWidth="1"/>
    <col min="16" max="247" width="11.5703125" style="157"/>
    <col min="248" max="248" width="8" style="157" customWidth="1"/>
    <col min="249" max="257" width="15.140625" style="157" customWidth="1"/>
    <col min="258" max="258" width="11.5703125" style="157"/>
    <col min="259" max="259" width="15.5703125" style="157" bestFit="1" customWidth="1"/>
    <col min="260" max="263" width="14.42578125" style="157" customWidth="1"/>
    <col min="264" max="265" width="12.28515625" style="157" bestFit="1" customWidth="1"/>
    <col min="266" max="503" width="11.5703125" style="157"/>
    <col min="504" max="504" width="8" style="157" customWidth="1"/>
    <col min="505" max="513" width="15.140625" style="157" customWidth="1"/>
    <col min="514" max="514" width="11.5703125" style="157"/>
    <col min="515" max="515" width="15.5703125" style="157" bestFit="1" customWidth="1"/>
    <col min="516" max="519" width="14.42578125" style="157" customWidth="1"/>
    <col min="520" max="521" width="12.28515625" style="157" bestFit="1" customWidth="1"/>
    <col min="522" max="759" width="11.5703125" style="157"/>
    <col min="760" max="760" width="8" style="157" customWidth="1"/>
    <col min="761" max="769" width="15.140625" style="157" customWidth="1"/>
    <col min="770" max="770" width="11.5703125" style="157"/>
    <col min="771" max="771" width="15.5703125" style="157" bestFit="1" customWidth="1"/>
    <col min="772" max="775" width="14.42578125" style="157" customWidth="1"/>
    <col min="776" max="777" width="12.28515625" style="157" bestFit="1" customWidth="1"/>
    <col min="778" max="1015" width="11.5703125" style="157"/>
    <col min="1016" max="1016" width="8" style="157" customWidth="1"/>
    <col min="1017" max="1025" width="15.140625" style="157" customWidth="1"/>
    <col min="1026" max="1026" width="11.5703125" style="157"/>
    <col min="1027" max="1027" width="15.5703125" style="157" bestFit="1" customWidth="1"/>
    <col min="1028" max="1031" width="14.42578125" style="157" customWidth="1"/>
    <col min="1032" max="1033" width="12.28515625" style="157" bestFit="1" customWidth="1"/>
    <col min="1034" max="1271" width="11.5703125" style="157"/>
    <col min="1272" max="1272" width="8" style="157" customWidth="1"/>
    <col min="1273" max="1281" width="15.140625" style="157" customWidth="1"/>
    <col min="1282" max="1282" width="11.5703125" style="157"/>
    <col min="1283" max="1283" width="15.5703125" style="157" bestFit="1" customWidth="1"/>
    <col min="1284" max="1287" width="14.42578125" style="157" customWidth="1"/>
    <col min="1288" max="1289" width="12.28515625" style="157" bestFit="1" customWidth="1"/>
    <col min="1290" max="1527" width="11.5703125" style="157"/>
    <col min="1528" max="1528" width="8" style="157" customWidth="1"/>
    <col min="1529" max="1537" width="15.140625" style="157" customWidth="1"/>
    <col min="1538" max="1538" width="11.5703125" style="157"/>
    <col min="1539" max="1539" width="15.5703125" style="157" bestFit="1" customWidth="1"/>
    <col min="1540" max="1543" width="14.42578125" style="157" customWidth="1"/>
    <col min="1544" max="1545" width="12.28515625" style="157" bestFit="1" customWidth="1"/>
    <col min="1546" max="1783" width="11.5703125" style="157"/>
    <col min="1784" max="1784" width="8" style="157" customWidth="1"/>
    <col min="1785" max="1793" width="15.140625" style="157" customWidth="1"/>
    <col min="1794" max="1794" width="11.5703125" style="157"/>
    <col min="1795" max="1795" width="15.5703125" style="157" bestFit="1" customWidth="1"/>
    <col min="1796" max="1799" width="14.42578125" style="157" customWidth="1"/>
    <col min="1800" max="1801" width="12.28515625" style="157" bestFit="1" customWidth="1"/>
    <col min="1802" max="2039" width="11.5703125" style="157"/>
    <col min="2040" max="2040" width="8" style="157" customWidth="1"/>
    <col min="2041" max="2049" width="15.140625" style="157" customWidth="1"/>
    <col min="2050" max="2050" width="11.5703125" style="157"/>
    <col min="2051" max="2051" width="15.5703125" style="157" bestFit="1" customWidth="1"/>
    <col min="2052" max="2055" width="14.42578125" style="157" customWidth="1"/>
    <col min="2056" max="2057" width="12.28515625" style="157" bestFit="1" customWidth="1"/>
    <col min="2058" max="2295" width="11.5703125" style="157"/>
    <col min="2296" max="2296" width="8" style="157" customWidth="1"/>
    <col min="2297" max="2305" width="15.140625" style="157" customWidth="1"/>
    <col min="2306" max="2306" width="11.5703125" style="157"/>
    <col min="2307" max="2307" width="15.5703125" style="157" bestFit="1" customWidth="1"/>
    <col min="2308" max="2311" width="14.42578125" style="157" customWidth="1"/>
    <col min="2312" max="2313" width="12.28515625" style="157" bestFit="1" customWidth="1"/>
    <col min="2314" max="2551" width="11.5703125" style="157"/>
    <col min="2552" max="2552" width="8" style="157" customWidth="1"/>
    <col min="2553" max="2561" width="15.140625" style="157" customWidth="1"/>
    <col min="2562" max="2562" width="11.5703125" style="157"/>
    <col min="2563" max="2563" width="15.5703125" style="157" bestFit="1" customWidth="1"/>
    <col min="2564" max="2567" width="14.42578125" style="157" customWidth="1"/>
    <col min="2568" max="2569" width="12.28515625" style="157" bestFit="1" customWidth="1"/>
    <col min="2570" max="2807" width="11.5703125" style="157"/>
    <col min="2808" max="2808" width="8" style="157" customWidth="1"/>
    <col min="2809" max="2817" width="15.140625" style="157" customWidth="1"/>
    <col min="2818" max="2818" width="11.5703125" style="157"/>
    <col min="2819" max="2819" width="15.5703125" style="157" bestFit="1" customWidth="1"/>
    <col min="2820" max="2823" width="14.42578125" style="157" customWidth="1"/>
    <col min="2824" max="2825" width="12.28515625" style="157" bestFit="1" customWidth="1"/>
    <col min="2826" max="3063" width="11.5703125" style="157"/>
    <col min="3064" max="3064" width="8" style="157" customWidth="1"/>
    <col min="3065" max="3073" width="15.140625" style="157" customWidth="1"/>
    <col min="3074" max="3074" width="11.5703125" style="157"/>
    <col min="3075" max="3075" width="15.5703125" style="157" bestFit="1" customWidth="1"/>
    <col min="3076" max="3079" width="14.42578125" style="157" customWidth="1"/>
    <col min="3080" max="3081" width="12.28515625" style="157" bestFit="1" customWidth="1"/>
    <col min="3082" max="3319" width="11.5703125" style="157"/>
    <col min="3320" max="3320" width="8" style="157" customWidth="1"/>
    <col min="3321" max="3329" width="15.140625" style="157" customWidth="1"/>
    <col min="3330" max="3330" width="11.5703125" style="157"/>
    <col min="3331" max="3331" width="15.5703125" style="157" bestFit="1" customWidth="1"/>
    <col min="3332" max="3335" width="14.42578125" style="157" customWidth="1"/>
    <col min="3336" max="3337" width="12.28515625" style="157" bestFit="1" customWidth="1"/>
    <col min="3338" max="3575" width="11.5703125" style="157"/>
    <col min="3576" max="3576" width="8" style="157" customWidth="1"/>
    <col min="3577" max="3585" width="15.140625" style="157" customWidth="1"/>
    <col min="3586" max="3586" width="11.5703125" style="157"/>
    <col min="3587" max="3587" width="15.5703125" style="157" bestFit="1" customWidth="1"/>
    <col min="3588" max="3591" width="14.42578125" style="157" customWidth="1"/>
    <col min="3592" max="3593" width="12.28515625" style="157" bestFit="1" customWidth="1"/>
    <col min="3594" max="3831" width="11.5703125" style="157"/>
    <col min="3832" max="3832" width="8" style="157" customWidth="1"/>
    <col min="3833" max="3841" width="15.140625" style="157" customWidth="1"/>
    <col min="3842" max="3842" width="11.5703125" style="157"/>
    <col min="3843" max="3843" width="15.5703125" style="157" bestFit="1" customWidth="1"/>
    <col min="3844" max="3847" width="14.42578125" style="157" customWidth="1"/>
    <col min="3848" max="3849" width="12.28515625" style="157" bestFit="1" customWidth="1"/>
    <col min="3850" max="4087" width="11.5703125" style="157"/>
    <col min="4088" max="4088" width="8" style="157" customWidth="1"/>
    <col min="4089" max="4097" width="15.140625" style="157" customWidth="1"/>
    <col min="4098" max="4098" width="11.5703125" style="157"/>
    <col min="4099" max="4099" width="15.5703125" style="157" bestFit="1" customWidth="1"/>
    <col min="4100" max="4103" width="14.42578125" style="157" customWidth="1"/>
    <col min="4104" max="4105" width="12.28515625" style="157" bestFit="1" customWidth="1"/>
    <col min="4106" max="4343" width="11.5703125" style="157"/>
    <col min="4344" max="4344" width="8" style="157" customWidth="1"/>
    <col min="4345" max="4353" width="15.140625" style="157" customWidth="1"/>
    <col min="4354" max="4354" width="11.5703125" style="157"/>
    <col min="4355" max="4355" width="15.5703125" style="157" bestFit="1" customWidth="1"/>
    <col min="4356" max="4359" width="14.42578125" style="157" customWidth="1"/>
    <col min="4360" max="4361" width="12.28515625" style="157" bestFit="1" customWidth="1"/>
    <col min="4362" max="4599" width="11.5703125" style="157"/>
    <col min="4600" max="4600" width="8" style="157" customWidth="1"/>
    <col min="4601" max="4609" width="15.140625" style="157" customWidth="1"/>
    <col min="4610" max="4610" width="11.5703125" style="157"/>
    <col min="4611" max="4611" width="15.5703125" style="157" bestFit="1" customWidth="1"/>
    <col min="4612" max="4615" width="14.42578125" style="157" customWidth="1"/>
    <col min="4616" max="4617" width="12.28515625" style="157" bestFit="1" customWidth="1"/>
    <col min="4618" max="4855" width="11.5703125" style="157"/>
    <col min="4856" max="4856" width="8" style="157" customWidth="1"/>
    <col min="4857" max="4865" width="15.140625" style="157" customWidth="1"/>
    <col min="4866" max="4866" width="11.5703125" style="157"/>
    <col min="4867" max="4867" width="15.5703125" style="157" bestFit="1" customWidth="1"/>
    <col min="4868" max="4871" width="14.42578125" style="157" customWidth="1"/>
    <col min="4872" max="4873" width="12.28515625" style="157" bestFit="1" customWidth="1"/>
    <col min="4874" max="5111" width="11.5703125" style="157"/>
    <col min="5112" max="5112" width="8" style="157" customWidth="1"/>
    <col min="5113" max="5121" width="15.140625" style="157" customWidth="1"/>
    <col min="5122" max="5122" width="11.5703125" style="157"/>
    <col min="5123" max="5123" width="15.5703125" style="157" bestFit="1" customWidth="1"/>
    <col min="5124" max="5127" width="14.42578125" style="157" customWidth="1"/>
    <col min="5128" max="5129" width="12.28515625" style="157" bestFit="1" customWidth="1"/>
    <col min="5130" max="5367" width="11.5703125" style="157"/>
    <col min="5368" max="5368" width="8" style="157" customWidth="1"/>
    <col min="5369" max="5377" width="15.140625" style="157" customWidth="1"/>
    <col min="5378" max="5378" width="11.5703125" style="157"/>
    <col min="5379" max="5379" width="15.5703125" style="157" bestFit="1" customWidth="1"/>
    <col min="5380" max="5383" width="14.42578125" style="157" customWidth="1"/>
    <col min="5384" max="5385" width="12.28515625" style="157" bestFit="1" customWidth="1"/>
    <col min="5386" max="5623" width="11.5703125" style="157"/>
    <col min="5624" max="5624" width="8" style="157" customWidth="1"/>
    <col min="5625" max="5633" width="15.140625" style="157" customWidth="1"/>
    <col min="5634" max="5634" width="11.5703125" style="157"/>
    <col min="5635" max="5635" width="15.5703125" style="157" bestFit="1" customWidth="1"/>
    <col min="5636" max="5639" width="14.42578125" style="157" customWidth="1"/>
    <col min="5640" max="5641" width="12.28515625" style="157" bestFit="1" customWidth="1"/>
    <col min="5642" max="5879" width="11.5703125" style="157"/>
    <col min="5880" max="5880" width="8" style="157" customWidth="1"/>
    <col min="5881" max="5889" width="15.140625" style="157" customWidth="1"/>
    <col min="5890" max="5890" width="11.5703125" style="157"/>
    <col min="5891" max="5891" width="15.5703125" style="157" bestFit="1" customWidth="1"/>
    <col min="5892" max="5895" width="14.42578125" style="157" customWidth="1"/>
    <col min="5896" max="5897" width="12.28515625" style="157" bestFit="1" customWidth="1"/>
    <col min="5898" max="6135" width="11.5703125" style="157"/>
    <col min="6136" max="6136" width="8" style="157" customWidth="1"/>
    <col min="6137" max="6145" width="15.140625" style="157" customWidth="1"/>
    <col min="6146" max="6146" width="11.5703125" style="157"/>
    <col min="6147" max="6147" width="15.5703125" style="157" bestFit="1" customWidth="1"/>
    <col min="6148" max="6151" width="14.42578125" style="157" customWidth="1"/>
    <col min="6152" max="6153" width="12.28515625" style="157" bestFit="1" customWidth="1"/>
    <col min="6154" max="6391" width="11.5703125" style="157"/>
    <col min="6392" max="6392" width="8" style="157" customWidth="1"/>
    <col min="6393" max="6401" width="15.140625" style="157" customWidth="1"/>
    <col min="6402" max="6402" width="11.5703125" style="157"/>
    <col min="6403" max="6403" width="15.5703125" style="157" bestFit="1" customWidth="1"/>
    <col min="6404" max="6407" width="14.42578125" style="157" customWidth="1"/>
    <col min="6408" max="6409" width="12.28515625" style="157" bestFit="1" customWidth="1"/>
    <col min="6410" max="6647" width="11.5703125" style="157"/>
    <col min="6648" max="6648" width="8" style="157" customWidth="1"/>
    <col min="6649" max="6657" width="15.140625" style="157" customWidth="1"/>
    <col min="6658" max="6658" width="11.5703125" style="157"/>
    <col min="6659" max="6659" width="15.5703125" style="157" bestFit="1" customWidth="1"/>
    <col min="6660" max="6663" width="14.42578125" style="157" customWidth="1"/>
    <col min="6664" max="6665" width="12.28515625" style="157" bestFit="1" customWidth="1"/>
    <col min="6666" max="6903" width="11.5703125" style="157"/>
    <col min="6904" max="6904" width="8" style="157" customWidth="1"/>
    <col min="6905" max="6913" width="15.140625" style="157" customWidth="1"/>
    <col min="6914" max="6914" width="11.5703125" style="157"/>
    <col min="6915" max="6915" width="15.5703125" style="157" bestFit="1" customWidth="1"/>
    <col min="6916" max="6919" width="14.42578125" style="157" customWidth="1"/>
    <col min="6920" max="6921" width="12.28515625" style="157" bestFit="1" customWidth="1"/>
    <col min="6922" max="7159" width="11.5703125" style="157"/>
    <col min="7160" max="7160" width="8" style="157" customWidth="1"/>
    <col min="7161" max="7169" width="15.140625" style="157" customWidth="1"/>
    <col min="7170" max="7170" width="11.5703125" style="157"/>
    <col min="7171" max="7171" width="15.5703125" style="157" bestFit="1" customWidth="1"/>
    <col min="7172" max="7175" width="14.42578125" style="157" customWidth="1"/>
    <col min="7176" max="7177" width="12.28515625" style="157" bestFit="1" customWidth="1"/>
    <col min="7178" max="7415" width="11.5703125" style="157"/>
    <col min="7416" max="7416" width="8" style="157" customWidth="1"/>
    <col min="7417" max="7425" width="15.140625" style="157" customWidth="1"/>
    <col min="7426" max="7426" width="11.5703125" style="157"/>
    <col min="7427" max="7427" width="15.5703125" style="157" bestFit="1" customWidth="1"/>
    <col min="7428" max="7431" width="14.42578125" style="157" customWidth="1"/>
    <col min="7432" max="7433" width="12.28515625" style="157" bestFit="1" customWidth="1"/>
    <col min="7434" max="7671" width="11.5703125" style="157"/>
    <col min="7672" max="7672" width="8" style="157" customWidth="1"/>
    <col min="7673" max="7681" width="15.140625" style="157" customWidth="1"/>
    <col min="7682" max="7682" width="11.5703125" style="157"/>
    <col min="7683" max="7683" width="15.5703125" style="157" bestFit="1" customWidth="1"/>
    <col min="7684" max="7687" width="14.42578125" style="157" customWidth="1"/>
    <col min="7688" max="7689" width="12.28515625" style="157" bestFit="1" customWidth="1"/>
    <col min="7690" max="7927" width="11.5703125" style="157"/>
    <col min="7928" max="7928" width="8" style="157" customWidth="1"/>
    <col min="7929" max="7937" width="15.140625" style="157" customWidth="1"/>
    <col min="7938" max="7938" width="11.5703125" style="157"/>
    <col min="7939" max="7939" width="15.5703125" style="157" bestFit="1" customWidth="1"/>
    <col min="7940" max="7943" width="14.42578125" style="157" customWidth="1"/>
    <col min="7944" max="7945" width="12.28515625" style="157" bestFit="1" customWidth="1"/>
    <col min="7946" max="8183" width="11.5703125" style="157"/>
    <col min="8184" max="8184" width="8" style="157" customWidth="1"/>
    <col min="8185" max="8193" width="15.140625" style="157" customWidth="1"/>
    <col min="8194" max="8194" width="11.5703125" style="157"/>
    <col min="8195" max="8195" width="15.5703125" style="157" bestFit="1" customWidth="1"/>
    <col min="8196" max="8199" width="14.42578125" style="157" customWidth="1"/>
    <col min="8200" max="8201" width="12.28515625" style="157" bestFit="1" customWidth="1"/>
    <col min="8202" max="8439" width="11.5703125" style="157"/>
    <col min="8440" max="8440" width="8" style="157" customWidth="1"/>
    <col min="8441" max="8449" width="15.140625" style="157" customWidth="1"/>
    <col min="8450" max="8450" width="11.5703125" style="157"/>
    <col min="8451" max="8451" width="15.5703125" style="157" bestFit="1" customWidth="1"/>
    <col min="8452" max="8455" width="14.42578125" style="157" customWidth="1"/>
    <col min="8456" max="8457" width="12.28515625" style="157" bestFit="1" customWidth="1"/>
    <col min="8458" max="8695" width="11.5703125" style="157"/>
    <col min="8696" max="8696" width="8" style="157" customWidth="1"/>
    <col min="8697" max="8705" width="15.140625" style="157" customWidth="1"/>
    <col min="8706" max="8706" width="11.5703125" style="157"/>
    <col min="8707" max="8707" width="15.5703125" style="157" bestFit="1" customWidth="1"/>
    <col min="8708" max="8711" width="14.42578125" style="157" customWidth="1"/>
    <col min="8712" max="8713" width="12.28515625" style="157" bestFit="1" customWidth="1"/>
    <col min="8714" max="8951" width="11.5703125" style="157"/>
    <col min="8952" max="8952" width="8" style="157" customWidth="1"/>
    <col min="8953" max="8961" width="15.140625" style="157" customWidth="1"/>
    <col min="8962" max="8962" width="11.5703125" style="157"/>
    <col min="8963" max="8963" width="15.5703125" style="157" bestFit="1" customWidth="1"/>
    <col min="8964" max="8967" width="14.42578125" style="157" customWidth="1"/>
    <col min="8968" max="8969" width="12.28515625" style="157" bestFit="1" customWidth="1"/>
    <col min="8970" max="9207" width="11.5703125" style="157"/>
    <col min="9208" max="9208" width="8" style="157" customWidth="1"/>
    <col min="9209" max="9217" width="15.140625" style="157" customWidth="1"/>
    <col min="9218" max="9218" width="11.5703125" style="157"/>
    <col min="9219" max="9219" width="15.5703125" style="157" bestFit="1" customWidth="1"/>
    <col min="9220" max="9223" width="14.42578125" style="157" customWidth="1"/>
    <col min="9224" max="9225" width="12.28515625" style="157" bestFit="1" customWidth="1"/>
    <col min="9226" max="9463" width="11.5703125" style="157"/>
    <col min="9464" max="9464" width="8" style="157" customWidth="1"/>
    <col min="9465" max="9473" width="15.140625" style="157" customWidth="1"/>
    <col min="9474" max="9474" width="11.5703125" style="157"/>
    <col min="9475" max="9475" width="15.5703125" style="157" bestFit="1" customWidth="1"/>
    <col min="9476" max="9479" width="14.42578125" style="157" customWidth="1"/>
    <col min="9480" max="9481" width="12.28515625" style="157" bestFit="1" customWidth="1"/>
    <col min="9482" max="9719" width="11.5703125" style="157"/>
    <col min="9720" max="9720" width="8" style="157" customWidth="1"/>
    <col min="9721" max="9729" width="15.140625" style="157" customWidth="1"/>
    <col min="9730" max="9730" width="11.5703125" style="157"/>
    <col min="9731" max="9731" width="15.5703125" style="157" bestFit="1" customWidth="1"/>
    <col min="9732" max="9735" width="14.42578125" style="157" customWidth="1"/>
    <col min="9736" max="9737" width="12.28515625" style="157" bestFit="1" customWidth="1"/>
    <col min="9738" max="9975" width="11.5703125" style="157"/>
    <col min="9976" max="9976" width="8" style="157" customWidth="1"/>
    <col min="9977" max="9985" width="15.140625" style="157" customWidth="1"/>
    <col min="9986" max="9986" width="11.5703125" style="157"/>
    <col min="9987" max="9987" width="15.5703125" style="157" bestFit="1" customWidth="1"/>
    <col min="9988" max="9991" width="14.42578125" style="157" customWidth="1"/>
    <col min="9992" max="9993" width="12.28515625" style="157" bestFit="1" customWidth="1"/>
    <col min="9994" max="10231" width="11.5703125" style="157"/>
    <col min="10232" max="10232" width="8" style="157" customWidth="1"/>
    <col min="10233" max="10241" width="15.140625" style="157" customWidth="1"/>
    <col min="10242" max="10242" width="11.5703125" style="157"/>
    <col min="10243" max="10243" width="15.5703125" style="157" bestFit="1" customWidth="1"/>
    <col min="10244" max="10247" width="14.42578125" style="157" customWidth="1"/>
    <col min="10248" max="10249" width="12.28515625" style="157" bestFit="1" customWidth="1"/>
    <col min="10250" max="10487" width="11.5703125" style="157"/>
    <col min="10488" max="10488" width="8" style="157" customWidth="1"/>
    <col min="10489" max="10497" width="15.140625" style="157" customWidth="1"/>
    <col min="10498" max="10498" width="11.5703125" style="157"/>
    <col min="10499" max="10499" width="15.5703125" style="157" bestFit="1" customWidth="1"/>
    <col min="10500" max="10503" width="14.42578125" style="157" customWidth="1"/>
    <col min="10504" max="10505" width="12.28515625" style="157" bestFit="1" customWidth="1"/>
    <col min="10506" max="10743" width="11.5703125" style="157"/>
    <col min="10744" max="10744" width="8" style="157" customWidth="1"/>
    <col min="10745" max="10753" width="15.140625" style="157" customWidth="1"/>
    <col min="10754" max="10754" width="11.5703125" style="157"/>
    <col min="10755" max="10755" width="15.5703125" style="157" bestFit="1" customWidth="1"/>
    <col min="10756" max="10759" width="14.42578125" style="157" customWidth="1"/>
    <col min="10760" max="10761" width="12.28515625" style="157" bestFit="1" customWidth="1"/>
    <col min="10762" max="10999" width="11.5703125" style="157"/>
    <col min="11000" max="11000" width="8" style="157" customWidth="1"/>
    <col min="11001" max="11009" width="15.140625" style="157" customWidth="1"/>
    <col min="11010" max="11010" width="11.5703125" style="157"/>
    <col min="11011" max="11011" width="15.5703125" style="157" bestFit="1" customWidth="1"/>
    <col min="11012" max="11015" width="14.42578125" style="157" customWidth="1"/>
    <col min="11016" max="11017" width="12.28515625" style="157" bestFit="1" customWidth="1"/>
    <col min="11018" max="11255" width="11.5703125" style="157"/>
    <col min="11256" max="11256" width="8" style="157" customWidth="1"/>
    <col min="11257" max="11265" width="15.140625" style="157" customWidth="1"/>
    <col min="11266" max="11266" width="11.5703125" style="157"/>
    <col min="11267" max="11267" width="15.5703125" style="157" bestFit="1" customWidth="1"/>
    <col min="11268" max="11271" width="14.42578125" style="157" customWidth="1"/>
    <col min="11272" max="11273" width="12.28515625" style="157" bestFit="1" customWidth="1"/>
    <col min="11274" max="11511" width="11.5703125" style="157"/>
    <col min="11512" max="11512" width="8" style="157" customWidth="1"/>
    <col min="11513" max="11521" width="15.140625" style="157" customWidth="1"/>
    <col min="11522" max="11522" width="11.5703125" style="157"/>
    <col min="11523" max="11523" width="15.5703125" style="157" bestFit="1" customWidth="1"/>
    <col min="11524" max="11527" width="14.42578125" style="157" customWidth="1"/>
    <col min="11528" max="11529" width="12.28515625" style="157" bestFit="1" customWidth="1"/>
    <col min="11530" max="11767" width="11.5703125" style="157"/>
    <col min="11768" max="11768" width="8" style="157" customWidth="1"/>
    <col min="11769" max="11777" width="15.140625" style="157" customWidth="1"/>
    <col min="11778" max="11778" width="11.5703125" style="157"/>
    <col min="11779" max="11779" width="15.5703125" style="157" bestFit="1" customWidth="1"/>
    <col min="11780" max="11783" width="14.42578125" style="157" customWidth="1"/>
    <col min="11784" max="11785" width="12.28515625" style="157" bestFit="1" customWidth="1"/>
    <col min="11786" max="12023" width="11.5703125" style="157"/>
    <col min="12024" max="12024" width="8" style="157" customWidth="1"/>
    <col min="12025" max="12033" width="15.140625" style="157" customWidth="1"/>
    <col min="12034" max="12034" width="11.5703125" style="157"/>
    <col min="12035" max="12035" width="15.5703125" style="157" bestFit="1" customWidth="1"/>
    <col min="12036" max="12039" width="14.42578125" style="157" customWidth="1"/>
    <col min="12040" max="12041" width="12.28515625" style="157" bestFit="1" customWidth="1"/>
    <col min="12042" max="12279" width="11.5703125" style="157"/>
    <col min="12280" max="12280" width="8" style="157" customWidth="1"/>
    <col min="12281" max="12289" width="15.140625" style="157" customWidth="1"/>
    <col min="12290" max="12290" width="11.5703125" style="157"/>
    <col min="12291" max="12291" width="15.5703125" style="157" bestFit="1" customWidth="1"/>
    <col min="12292" max="12295" width="14.42578125" style="157" customWidth="1"/>
    <col min="12296" max="12297" width="12.28515625" style="157" bestFit="1" customWidth="1"/>
    <col min="12298" max="12535" width="11.5703125" style="157"/>
    <col min="12536" max="12536" width="8" style="157" customWidth="1"/>
    <col min="12537" max="12545" width="15.140625" style="157" customWidth="1"/>
    <col min="12546" max="12546" width="11.5703125" style="157"/>
    <col min="12547" max="12547" width="15.5703125" style="157" bestFit="1" customWidth="1"/>
    <col min="12548" max="12551" width="14.42578125" style="157" customWidth="1"/>
    <col min="12552" max="12553" width="12.28515625" style="157" bestFit="1" customWidth="1"/>
    <col min="12554" max="12791" width="11.5703125" style="157"/>
    <col min="12792" max="12792" width="8" style="157" customWidth="1"/>
    <col min="12793" max="12801" width="15.140625" style="157" customWidth="1"/>
    <col min="12802" max="12802" width="11.5703125" style="157"/>
    <col min="12803" max="12803" width="15.5703125" style="157" bestFit="1" customWidth="1"/>
    <col min="12804" max="12807" width="14.42578125" style="157" customWidth="1"/>
    <col min="12808" max="12809" width="12.28515625" style="157" bestFit="1" customWidth="1"/>
    <col min="12810" max="13047" width="11.5703125" style="157"/>
    <col min="13048" max="13048" width="8" style="157" customWidth="1"/>
    <col min="13049" max="13057" width="15.140625" style="157" customWidth="1"/>
    <col min="13058" max="13058" width="11.5703125" style="157"/>
    <col min="13059" max="13059" width="15.5703125" style="157" bestFit="1" customWidth="1"/>
    <col min="13060" max="13063" width="14.42578125" style="157" customWidth="1"/>
    <col min="13064" max="13065" width="12.28515625" style="157" bestFit="1" customWidth="1"/>
    <col min="13066" max="13303" width="11.5703125" style="157"/>
    <col min="13304" max="13304" width="8" style="157" customWidth="1"/>
    <col min="13305" max="13313" width="15.140625" style="157" customWidth="1"/>
    <col min="13314" max="13314" width="11.5703125" style="157"/>
    <col min="13315" max="13315" width="15.5703125" style="157" bestFit="1" customWidth="1"/>
    <col min="13316" max="13319" width="14.42578125" style="157" customWidth="1"/>
    <col min="13320" max="13321" width="12.28515625" style="157" bestFit="1" customWidth="1"/>
    <col min="13322" max="13559" width="11.5703125" style="157"/>
    <col min="13560" max="13560" width="8" style="157" customWidth="1"/>
    <col min="13561" max="13569" width="15.140625" style="157" customWidth="1"/>
    <col min="13570" max="13570" width="11.5703125" style="157"/>
    <col min="13571" max="13571" width="15.5703125" style="157" bestFit="1" customWidth="1"/>
    <col min="13572" max="13575" width="14.42578125" style="157" customWidth="1"/>
    <col min="13576" max="13577" width="12.28515625" style="157" bestFit="1" customWidth="1"/>
    <col min="13578" max="13815" width="11.5703125" style="157"/>
    <col min="13816" max="13816" width="8" style="157" customWidth="1"/>
    <col min="13817" max="13825" width="15.140625" style="157" customWidth="1"/>
    <col min="13826" max="13826" width="11.5703125" style="157"/>
    <col min="13827" max="13827" width="15.5703125" style="157" bestFit="1" customWidth="1"/>
    <col min="13828" max="13831" width="14.42578125" style="157" customWidth="1"/>
    <col min="13832" max="13833" width="12.28515625" style="157" bestFit="1" customWidth="1"/>
    <col min="13834" max="14071" width="11.5703125" style="157"/>
    <col min="14072" max="14072" width="8" style="157" customWidth="1"/>
    <col min="14073" max="14081" width="15.140625" style="157" customWidth="1"/>
    <col min="14082" max="14082" width="11.5703125" style="157"/>
    <col min="14083" max="14083" width="15.5703125" style="157" bestFit="1" customWidth="1"/>
    <col min="14084" max="14087" width="14.42578125" style="157" customWidth="1"/>
    <col min="14088" max="14089" width="12.28515625" style="157" bestFit="1" customWidth="1"/>
    <col min="14090" max="14327" width="11.5703125" style="157"/>
    <col min="14328" max="14328" width="8" style="157" customWidth="1"/>
    <col min="14329" max="14337" width="15.140625" style="157" customWidth="1"/>
    <col min="14338" max="14338" width="11.5703125" style="157"/>
    <col min="14339" max="14339" width="15.5703125" style="157" bestFit="1" customWidth="1"/>
    <col min="14340" max="14343" width="14.42578125" style="157" customWidth="1"/>
    <col min="14344" max="14345" width="12.28515625" style="157" bestFit="1" customWidth="1"/>
    <col min="14346" max="14583" width="11.5703125" style="157"/>
    <col min="14584" max="14584" width="8" style="157" customWidth="1"/>
    <col min="14585" max="14593" width="15.140625" style="157" customWidth="1"/>
    <col min="14594" max="14594" width="11.5703125" style="157"/>
    <col min="14595" max="14595" width="15.5703125" style="157" bestFit="1" customWidth="1"/>
    <col min="14596" max="14599" width="14.42578125" style="157" customWidth="1"/>
    <col min="14600" max="14601" width="12.28515625" style="157" bestFit="1" customWidth="1"/>
    <col min="14602" max="14839" width="11.5703125" style="157"/>
    <col min="14840" max="14840" width="8" style="157" customWidth="1"/>
    <col min="14841" max="14849" width="15.140625" style="157" customWidth="1"/>
    <col min="14850" max="14850" width="11.5703125" style="157"/>
    <col min="14851" max="14851" width="15.5703125" style="157" bestFit="1" customWidth="1"/>
    <col min="14852" max="14855" width="14.42578125" style="157" customWidth="1"/>
    <col min="14856" max="14857" width="12.28515625" style="157" bestFit="1" customWidth="1"/>
    <col min="14858" max="15095" width="11.5703125" style="157"/>
    <col min="15096" max="15096" width="8" style="157" customWidth="1"/>
    <col min="15097" max="15105" width="15.140625" style="157" customWidth="1"/>
    <col min="15106" max="15106" width="11.5703125" style="157"/>
    <col min="15107" max="15107" width="15.5703125" style="157" bestFit="1" customWidth="1"/>
    <col min="15108" max="15111" width="14.42578125" style="157" customWidth="1"/>
    <col min="15112" max="15113" width="12.28515625" style="157" bestFit="1" customWidth="1"/>
    <col min="15114" max="15351" width="11.5703125" style="157"/>
    <col min="15352" max="15352" width="8" style="157" customWidth="1"/>
    <col min="15353" max="15361" width="15.140625" style="157" customWidth="1"/>
    <col min="15362" max="15362" width="11.5703125" style="157"/>
    <col min="15363" max="15363" width="15.5703125" style="157" bestFit="1" customWidth="1"/>
    <col min="15364" max="15367" width="14.42578125" style="157" customWidth="1"/>
    <col min="15368" max="15369" width="12.28515625" style="157" bestFit="1" customWidth="1"/>
    <col min="15370" max="15607" width="11.5703125" style="157"/>
    <col min="15608" max="15608" width="8" style="157" customWidth="1"/>
    <col min="15609" max="15617" width="15.140625" style="157" customWidth="1"/>
    <col min="15618" max="15618" width="11.5703125" style="157"/>
    <col min="15619" max="15619" width="15.5703125" style="157" bestFit="1" customWidth="1"/>
    <col min="15620" max="15623" width="14.42578125" style="157" customWidth="1"/>
    <col min="15624" max="15625" width="12.28515625" style="157" bestFit="1" customWidth="1"/>
    <col min="15626" max="15863" width="11.5703125" style="157"/>
    <col min="15864" max="15864" width="8" style="157" customWidth="1"/>
    <col min="15865" max="15873" width="15.140625" style="157" customWidth="1"/>
    <col min="15874" max="15874" width="11.5703125" style="157"/>
    <col min="15875" max="15875" width="15.5703125" style="157" bestFit="1" customWidth="1"/>
    <col min="15876" max="15879" width="14.42578125" style="157" customWidth="1"/>
    <col min="15880" max="15881" width="12.28515625" style="157" bestFit="1" customWidth="1"/>
    <col min="15882" max="16119" width="11.5703125" style="157"/>
    <col min="16120" max="16120" width="8" style="157" customWidth="1"/>
    <col min="16121" max="16129" width="15.140625" style="157" customWidth="1"/>
    <col min="16130" max="16130" width="11.5703125" style="157"/>
    <col min="16131" max="16131" width="15.5703125" style="157" bestFit="1" customWidth="1"/>
    <col min="16132" max="16135" width="14.42578125" style="157" customWidth="1"/>
    <col min="16136" max="16137" width="12.28515625" style="157" bestFit="1" customWidth="1"/>
    <col min="16138" max="16384" width="11.5703125" style="157"/>
  </cols>
  <sheetData>
    <row r="1" spans="2:27" s="156" customFormat="1" ht="38.25" customHeight="1" thickBot="1">
      <c r="B1" s="1298" t="s">
        <v>129</v>
      </c>
      <c r="C1" s="1298"/>
      <c r="D1" s="1298"/>
      <c r="E1" s="1298"/>
      <c r="F1" s="1298"/>
      <c r="G1" s="1298"/>
      <c r="H1" s="1298"/>
      <c r="I1" s="1298"/>
      <c r="J1" s="1298"/>
      <c r="K1" s="1298"/>
    </row>
    <row r="2" spans="2:27" ht="12.75" hidden="1" customHeight="1" thickBot="1">
      <c r="B2" s="47"/>
      <c r="C2" s="47"/>
      <c r="D2" s="47"/>
      <c r="E2" s="47"/>
      <c r="F2" s="47">
        <v>1.4</v>
      </c>
      <c r="G2" s="47"/>
      <c r="H2" s="47"/>
      <c r="I2" s="47">
        <v>1.2</v>
      </c>
      <c r="J2" s="47"/>
      <c r="K2" s="47">
        <v>1.05</v>
      </c>
    </row>
    <row r="3" spans="2:27" ht="21.75" customHeight="1">
      <c r="B3" s="1212" t="s">
        <v>1</v>
      </c>
      <c r="C3" s="1214" t="s">
        <v>130</v>
      </c>
      <c r="D3" s="1214" t="s">
        <v>131</v>
      </c>
      <c r="E3" s="1214" t="s">
        <v>132</v>
      </c>
      <c r="F3" s="1299" t="s">
        <v>133</v>
      </c>
      <c r="G3" s="1214" t="s">
        <v>134</v>
      </c>
      <c r="H3" s="1214" t="s">
        <v>135</v>
      </c>
      <c r="I3" s="1214" t="s">
        <v>136</v>
      </c>
      <c r="J3" s="1214" t="s">
        <v>137</v>
      </c>
      <c r="K3" s="1218" t="s">
        <v>138</v>
      </c>
    </row>
    <row r="4" spans="2:27" s="158" customFormat="1" ht="34.5" customHeight="1" thickBot="1">
      <c r="B4" s="1213"/>
      <c r="C4" s="1215"/>
      <c r="D4" s="1215"/>
      <c r="E4" s="1215"/>
      <c r="F4" s="1300"/>
      <c r="G4" s="1215"/>
      <c r="H4" s="1215"/>
      <c r="I4" s="1215"/>
      <c r="J4" s="1215"/>
      <c r="K4" s="1219"/>
      <c r="L4" s="157"/>
      <c r="M4" s="342">
        <f>'TS-R1 FC'!C30</f>
        <v>0.8</v>
      </c>
    </row>
    <row r="5" spans="2:27" ht="20.25" customHeight="1">
      <c r="B5" s="81">
        <v>1</v>
      </c>
      <c r="C5" s="567">
        <f>'8 R1 RH'!E4</f>
        <v>245634.84</v>
      </c>
      <c r="D5" s="568">
        <f>'9 R1 EE'!U4+'9 R1 EE'!W4+'9 R1 EE'!Y4</f>
        <v>550936.15119900031</v>
      </c>
      <c r="E5" s="116">
        <f>'10 PQ A SA'!F4+'10 PQ A AF'!F4+'10 PQ A CL'!F4+'11 R1 PQ E'!F4</f>
        <v>17403.0139314964</v>
      </c>
      <c r="F5" s="458">
        <f>M5*$M$4</f>
        <v>243745.17914122643</v>
      </c>
      <c r="G5" s="569">
        <f>SUM(C5:F5)</f>
        <v>1057719.184271723</v>
      </c>
      <c r="H5" s="116">
        <f>'8 R1 RH'!H4</f>
        <v>148613</v>
      </c>
      <c r="I5" s="116">
        <f>N5*$M$4</f>
        <v>239149.36326204147</v>
      </c>
      <c r="J5" s="459">
        <f>SUM(H5:I5)</f>
        <v>387762.36326204147</v>
      </c>
      <c r="K5" s="610">
        <f>'R1 DEPR'!AH10</f>
        <v>0</v>
      </c>
      <c r="M5" s="235">
        <v>304681.47392653301</v>
      </c>
      <c r="N5" s="235">
        <v>298936.70407755184</v>
      </c>
      <c r="O5" s="237"/>
      <c r="P5" s="237"/>
      <c r="Q5" s="237"/>
      <c r="R5" s="237"/>
      <c r="S5" s="237"/>
      <c r="T5" s="237"/>
      <c r="U5" s="237"/>
      <c r="V5" s="237"/>
      <c r="W5" s="237"/>
      <c r="X5" s="237"/>
      <c r="Y5" s="237"/>
      <c r="Z5" s="237"/>
      <c r="AA5" s="237"/>
    </row>
    <row r="6" spans="2:27" ht="20.25" customHeight="1">
      <c r="B6" s="65">
        <v>2</v>
      </c>
      <c r="C6" s="567">
        <f>'8 R1 RH'!E5</f>
        <v>450330.54</v>
      </c>
      <c r="D6" s="568">
        <f>'9 R1 EE'!U5+'9 R1 EE'!W5+'9 R1 EE'!Y5</f>
        <v>520720.01266633545</v>
      </c>
      <c r="E6" s="116">
        <f>'10 PQ A SA'!F5+'10 PQ A AF'!F5+'10 PQ A CL'!F5+'11 R1 PQ E'!F5</f>
        <v>16416.846413093408</v>
      </c>
      <c r="F6" s="458">
        <f t="shared" ref="F6:F34" si="0">M6*$M$4</f>
        <v>242859.11323662323</v>
      </c>
      <c r="G6" s="569">
        <f t="shared" ref="G6:G34" si="1">SUM(C6:F6)</f>
        <v>1230326.5123160519</v>
      </c>
      <c r="H6" s="116">
        <f>'8 R1 RH'!H5</f>
        <v>148613</v>
      </c>
      <c r="I6" s="116">
        <f t="shared" ref="I6:I34" si="2">N6*$M$4</f>
        <v>146646.20052795502</v>
      </c>
      <c r="J6" s="459">
        <f t="shared" ref="J6:J34" si="3">SUM(H6:I6)</f>
        <v>295259.20052795502</v>
      </c>
      <c r="K6" s="573">
        <f>'R1 DEPR'!AH11</f>
        <v>19422.835502517231</v>
      </c>
      <c r="L6" s="166"/>
      <c r="M6" s="235">
        <v>303573.89154577901</v>
      </c>
      <c r="N6" s="235">
        <v>183307.75065994376</v>
      </c>
      <c r="O6" s="237"/>
      <c r="P6" s="237"/>
      <c r="Q6" s="237"/>
      <c r="R6" s="237"/>
      <c r="S6" s="237"/>
      <c r="T6" s="237"/>
      <c r="U6" s="237"/>
      <c r="V6" s="237"/>
    </row>
    <row r="7" spans="2:27" ht="20.25" customHeight="1">
      <c r="B7" s="65">
        <v>3</v>
      </c>
      <c r="C7" s="567">
        <f>'8 R1 RH'!E6</f>
        <v>655026.24</v>
      </c>
      <c r="D7" s="568">
        <f>'9 R1 EE'!U6+'9 R1 EE'!W6+'9 R1 EE'!Y6</f>
        <v>477268.91245393129</v>
      </c>
      <c r="E7" s="116">
        <f>'10 PQ A SA'!F6+'10 PQ A AF'!F6+'10 PQ A CL'!F6+'11 R1 PQ E'!F6</f>
        <v>15048.679461448424</v>
      </c>
      <c r="F7" s="458">
        <f t="shared" si="0"/>
        <v>299604.94187372486</v>
      </c>
      <c r="G7" s="569">
        <f t="shared" si="1"/>
        <v>1446948.7737891045</v>
      </c>
      <c r="H7" s="116">
        <f>'8 R1 RH'!H6</f>
        <v>185766.25</v>
      </c>
      <c r="I7" s="116">
        <f t="shared" si="2"/>
        <v>150071.30023137954</v>
      </c>
      <c r="J7" s="459">
        <f t="shared" si="3"/>
        <v>335837.55023137957</v>
      </c>
      <c r="K7" s="573">
        <f>'R1 DEPR'!AH12</f>
        <v>31767.091368703179</v>
      </c>
      <c r="L7" s="166"/>
      <c r="M7" s="235">
        <v>374506.17734215606</v>
      </c>
      <c r="N7" s="235">
        <v>187589.12528922441</v>
      </c>
      <c r="O7" s="237"/>
      <c r="P7" s="237"/>
      <c r="Q7" s="237"/>
      <c r="R7" s="237"/>
      <c r="S7" s="237"/>
      <c r="T7" s="237"/>
      <c r="U7" s="237"/>
      <c r="V7" s="237"/>
    </row>
    <row r="8" spans="2:27" ht="20.25" customHeight="1">
      <c r="B8" s="65">
        <v>4</v>
      </c>
      <c r="C8" s="951">
        <f>'8 R1 RH'!E7</f>
        <v>736904.52</v>
      </c>
      <c r="D8" s="952">
        <f>'9 R1 EE'!U7+'9 R1 EE'!W7+'9 R1 EE'!Y7</f>
        <v>344396.7516912701</v>
      </c>
      <c r="E8" s="116">
        <f>'10 PQ A SA'!F7+'10 PQ A AF'!F7+'10 PQ A CL'!F7+'11 R1 PQ E'!F7</f>
        <v>14145.078118748261</v>
      </c>
      <c r="F8" s="458">
        <f t="shared" si="0"/>
        <v>299283.41960704466</v>
      </c>
      <c r="G8" s="954">
        <f t="shared" si="1"/>
        <v>1394729.7694170631</v>
      </c>
      <c r="H8" s="116">
        <f>'8 R1 RH'!H7</f>
        <v>222919.5</v>
      </c>
      <c r="I8" s="116">
        <f t="shared" si="2"/>
        <v>142905.76800000001</v>
      </c>
      <c r="J8" s="459">
        <f t="shared" si="3"/>
        <v>365825.26800000004</v>
      </c>
      <c r="K8" s="955">
        <f>'R1 DEPR'!AH13</f>
        <v>42964.776963557146</v>
      </c>
      <c r="L8" s="166"/>
      <c r="M8" s="235">
        <v>374104.27450880583</v>
      </c>
      <c r="N8" s="235">
        <v>178632.21</v>
      </c>
      <c r="O8" s="237"/>
      <c r="P8" s="237"/>
      <c r="Q8" s="237"/>
      <c r="R8" s="237"/>
      <c r="S8" s="237"/>
      <c r="T8" s="237"/>
      <c r="U8" s="237"/>
      <c r="V8" s="237"/>
    </row>
    <row r="9" spans="2:27" ht="20.25" customHeight="1">
      <c r="B9" s="65">
        <v>5</v>
      </c>
      <c r="C9" s="951">
        <f>'8 R1 RH'!E8</f>
        <v>553251.9</v>
      </c>
      <c r="D9" s="952">
        <f>'9 R1 EE'!U8+'9 R1 EE'!W8+'9 R1 EE'!Y8</f>
        <v>453766.16256899503</v>
      </c>
      <c r="E9" s="952">
        <f>'10 PQ A SA'!F8+'10 PQ A AF'!F8+'10 PQ A CL'!F8+'11 R1 PQ E'!F8</f>
        <v>14599.065768930037</v>
      </c>
      <c r="F9" s="458">
        <f t="shared" si="0"/>
        <v>350814.0451623681</v>
      </c>
      <c r="G9" s="954">
        <f t="shared" si="1"/>
        <v>1372431.1735002932</v>
      </c>
      <c r="H9" s="116">
        <f>'8 R1 RH'!H8</f>
        <v>222919.5</v>
      </c>
      <c r="I9" s="116">
        <f t="shared" si="2"/>
        <v>141611.1231692904</v>
      </c>
      <c r="J9" s="459">
        <f t="shared" si="3"/>
        <v>364530.62316929037</v>
      </c>
      <c r="K9" s="955">
        <f>'R1 DEPR'!AH14</f>
        <v>96570.054420457061</v>
      </c>
      <c r="L9" s="166"/>
      <c r="M9" s="235">
        <v>438517.55645296013</v>
      </c>
      <c r="N9" s="235">
        <v>177013.90396161299</v>
      </c>
      <c r="O9" s="237"/>
      <c r="P9" s="237"/>
      <c r="Q9" s="237"/>
      <c r="R9" s="237"/>
      <c r="S9" s="237"/>
      <c r="T9" s="237"/>
      <c r="U9" s="237"/>
      <c r="V9" s="237"/>
    </row>
    <row r="10" spans="2:27" ht="20.25" customHeight="1">
      <c r="B10" s="65">
        <v>6</v>
      </c>
      <c r="C10" s="951">
        <f>'8 R1 RH'!E9</f>
        <v>553251.9</v>
      </c>
      <c r="D10" s="952">
        <f>'9 R1 EE'!U9+'9 R1 EE'!W9+'9 R1 EE'!Y9</f>
        <v>452504.37082250707</v>
      </c>
      <c r="E10" s="952">
        <f>'10 PQ A SA'!F9+'10 PQ A AF'!F9+'10 PQ A CL'!F9+'11 R1 PQ E'!F9</f>
        <v>15057.798117373999</v>
      </c>
      <c r="F10" s="458">
        <f t="shared" si="0"/>
        <v>351352.02542474587</v>
      </c>
      <c r="G10" s="954">
        <f t="shared" si="1"/>
        <v>1372166.0943646268</v>
      </c>
      <c r="H10" s="116">
        <f>'8 R1 RH'!H9</f>
        <v>222919.5</v>
      </c>
      <c r="I10" s="116">
        <f t="shared" si="2"/>
        <v>163745.49739602054</v>
      </c>
      <c r="J10" s="459">
        <f t="shared" si="3"/>
        <v>386664.99739602057</v>
      </c>
      <c r="K10" s="955">
        <f>'R1 DEPR'!AH15</f>
        <v>304965.65942868049</v>
      </c>
      <c r="L10" s="166"/>
      <c r="M10" s="235">
        <v>439190.03178093233</v>
      </c>
      <c r="N10" s="235">
        <v>204681.87174502565</v>
      </c>
      <c r="O10" s="237"/>
      <c r="P10" s="237"/>
      <c r="Q10" s="237"/>
      <c r="R10" s="237"/>
      <c r="S10" s="237"/>
      <c r="T10" s="237"/>
      <c r="U10" s="237"/>
      <c r="V10" s="237"/>
    </row>
    <row r="11" spans="2:27" ht="20.25" customHeight="1">
      <c r="B11" s="65">
        <v>7</v>
      </c>
      <c r="C11" s="951">
        <f>'8 R1 RH'!E10</f>
        <v>553251.9</v>
      </c>
      <c r="D11" s="952">
        <f>'9 R1 EE'!U10+'9 R1 EE'!W10+'9 R1 EE'!Y10</f>
        <v>446472.24784560606</v>
      </c>
      <c r="E11" s="952">
        <f>'10 PQ A SA'!F10+'10 PQ A AF'!F10+'10 PQ A CL'!F10+'11 R1 PQ E'!F10</f>
        <v>15064.87973247327</v>
      </c>
      <c r="F11" s="458">
        <f t="shared" si="0"/>
        <v>351547.9489293131</v>
      </c>
      <c r="G11" s="954">
        <f t="shared" si="1"/>
        <v>1366336.9765073925</v>
      </c>
      <c r="H11" s="116">
        <f>'8 R1 RH'!H10</f>
        <v>222919.5</v>
      </c>
      <c r="I11" s="116">
        <f t="shared" si="2"/>
        <v>145132.02738592165</v>
      </c>
      <c r="J11" s="459">
        <f t="shared" si="3"/>
        <v>368051.52738592168</v>
      </c>
      <c r="K11" s="955">
        <f>'R1 DEPR'!AH16</f>
        <v>335294.75656698272</v>
      </c>
      <c r="L11" s="166"/>
      <c r="M11" s="235">
        <v>439434.93616164138</v>
      </c>
      <c r="N11" s="235">
        <v>181415.03423240207</v>
      </c>
      <c r="O11" s="237"/>
      <c r="P11" s="237"/>
      <c r="Q11" s="237"/>
      <c r="R11" s="237"/>
      <c r="S11" s="237"/>
      <c r="T11" s="237"/>
      <c r="U11" s="237"/>
      <c r="V11" s="237"/>
    </row>
    <row r="12" spans="2:27" ht="20.25" customHeight="1">
      <c r="B12" s="65">
        <v>8</v>
      </c>
      <c r="C12" s="951">
        <f>'8 R1 RH'!E11</f>
        <v>553251.9</v>
      </c>
      <c r="D12" s="952">
        <f>'9 R1 EE'!U11+'9 R1 EE'!W11+'9 R1 EE'!Y11</f>
        <v>475713.8977125652</v>
      </c>
      <c r="E12" s="952">
        <f>'10 PQ A SA'!F11+'10 PQ A AF'!F11+'10 PQ A CL'!F11+'11 R1 PQ E'!F11</f>
        <v>15072.495622356846</v>
      </c>
      <c r="F12" s="458">
        <f t="shared" si="0"/>
        <v>371729.4648631434</v>
      </c>
      <c r="G12" s="954">
        <f t="shared" si="1"/>
        <v>1415767.7581980655</v>
      </c>
      <c r="H12" s="116">
        <f>'8 R1 RH'!H11</f>
        <v>222919.5</v>
      </c>
      <c r="I12" s="116">
        <f t="shared" si="2"/>
        <v>146644.29094887545</v>
      </c>
      <c r="J12" s="459">
        <f t="shared" si="3"/>
        <v>369563.79094887548</v>
      </c>
      <c r="K12" s="955">
        <f>'R1 DEPR'!AH17</f>
        <v>409777.60554813145</v>
      </c>
      <c r="L12" s="166"/>
      <c r="M12" s="235">
        <v>464661.83107892924</v>
      </c>
      <c r="N12" s="235">
        <v>183305.36368609432</v>
      </c>
      <c r="O12" s="237"/>
      <c r="P12" s="237"/>
      <c r="Q12" s="237"/>
      <c r="R12" s="237"/>
      <c r="S12" s="237"/>
      <c r="T12" s="237"/>
      <c r="U12" s="237"/>
      <c r="V12" s="237"/>
    </row>
    <row r="13" spans="2:27" ht="20.25" customHeight="1">
      <c r="B13" s="65">
        <v>9</v>
      </c>
      <c r="C13" s="951">
        <f>'8 R1 RH'!E12</f>
        <v>553251.9</v>
      </c>
      <c r="D13" s="952">
        <f>'9 R1 EE'!U12+'9 R1 EE'!W12+'9 R1 EE'!Y12</f>
        <v>483412.18706838228</v>
      </c>
      <c r="E13" s="952">
        <f>'10 PQ A SA'!F12+'10 PQ A AF'!F12+'10 PQ A CL'!F12+'11 R1 PQ E'!F12</f>
        <v>15192.826253067265</v>
      </c>
      <c r="F13" s="458">
        <f t="shared" si="0"/>
        <v>387030.74461918877</v>
      </c>
      <c r="G13" s="954">
        <f t="shared" si="1"/>
        <v>1438887.6579406385</v>
      </c>
      <c r="H13" s="116">
        <f>'8 R1 RH'!H12</f>
        <v>222919.5</v>
      </c>
      <c r="I13" s="116">
        <f t="shared" si="2"/>
        <v>151791.24257447</v>
      </c>
      <c r="J13" s="459">
        <f t="shared" si="3"/>
        <v>374710.74257447</v>
      </c>
      <c r="K13" s="955">
        <f>'R1 DEPR'!AH18</f>
        <v>463947.68852428254</v>
      </c>
      <c r="L13" s="166"/>
      <c r="M13" s="235">
        <v>483788.43077398592</v>
      </c>
      <c r="N13" s="235">
        <v>189739.0532180875</v>
      </c>
      <c r="O13" s="237"/>
      <c r="P13" s="237"/>
      <c r="Q13" s="237"/>
      <c r="R13" s="237"/>
      <c r="S13" s="237"/>
      <c r="T13" s="237"/>
      <c r="U13" s="237"/>
      <c r="V13" s="237"/>
    </row>
    <row r="14" spans="2:27" ht="20.25" customHeight="1">
      <c r="B14" s="65">
        <v>10</v>
      </c>
      <c r="C14" s="951">
        <f>'8 R1 RH'!E13</f>
        <v>553251.9</v>
      </c>
      <c r="D14" s="952">
        <f>'9 R1 EE'!U13+'9 R1 EE'!W13+'9 R1 EE'!Y13</f>
        <v>489442.6019993478</v>
      </c>
      <c r="E14" s="952">
        <f>'10 PQ A SA'!F13+'10 PQ A AF'!F13+'10 PQ A CL'!F13+'11 R1 PQ E'!F13</f>
        <v>15347.122255394672</v>
      </c>
      <c r="F14" s="458">
        <f t="shared" si="0"/>
        <v>401658.00294591533</v>
      </c>
      <c r="G14" s="954">
        <f t="shared" si="1"/>
        <v>1459699.6272006577</v>
      </c>
      <c r="H14" s="116">
        <f>'8 R1 RH'!H13</f>
        <v>222919.5</v>
      </c>
      <c r="I14" s="116">
        <f t="shared" si="2"/>
        <v>139475.54255699547</v>
      </c>
      <c r="J14" s="459">
        <f t="shared" si="3"/>
        <v>362395.04255699547</v>
      </c>
      <c r="K14" s="955">
        <f>'R1 DEPR'!AH19</f>
        <v>555574.63704043371</v>
      </c>
      <c r="L14" s="166"/>
      <c r="M14" s="235">
        <v>502072.50368239416</v>
      </c>
      <c r="N14" s="235">
        <v>174344.42819624432</v>
      </c>
      <c r="O14" s="237"/>
      <c r="P14" s="237"/>
      <c r="Q14" s="237"/>
      <c r="R14" s="237"/>
      <c r="S14" s="237"/>
      <c r="T14" s="237"/>
      <c r="U14" s="237"/>
      <c r="V14" s="237"/>
    </row>
    <row r="15" spans="2:27" ht="20.25" customHeight="1">
      <c r="B15" s="65">
        <v>11</v>
      </c>
      <c r="C15" s="951">
        <f>'8 R1 RH'!E14</f>
        <v>553251.9</v>
      </c>
      <c r="D15" s="952">
        <f>'9 R1 EE'!U14+'9 R1 EE'!W14+'9 R1 EE'!Y14</f>
        <v>490208.95603734476</v>
      </c>
      <c r="E15" s="952">
        <f>'10 PQ A SA'!F14+'10 PQ A AF'!F14+'10 PQ A CL'!F14+'11 R1 PQ E'!F14</f>
        <v>15631.795172996442</v>
      </c>
      <c r="F15" s="458">
        <f t="shared" si="0"/>
        <v>401728.7150956777</v>
      </c>
      <c r="G15" s="954">
        <f t="shared" si="1"/>
        <v>1460821.3663060188</v>
      </c>
      <c r="H15" s="116">
        <f>'8 R1 RH'!H14</f>
        <v>222919.5</v>
      </c>
      <c r="I15" s="116">
        <f t="shared" si="2"/>
        <v>139561.84</v>
      </c>
      <c r="J15" s="459">
        <f t="shared" si="3"/>
        <v>362481.33999999997</v>
      </c>
      <c r="K15" s="955">
        <f>'R1 DEPR'!AH20</f>
        <v>605563.54056842171</v>
      </c>
      <c r="L15" s="166"/>
      <c r="M15" s="235">
        <v>502160.89386959712</v>
      </c>
      <c r="N15" s="235">
        <v>174452.3</v>
      </c>
      <c r="O15" s="237"/>
      <c r="P15" s="237"/>
      <c r="Q15" s="237"/>
      <c r="R15" s="237"/>
      <c r="S15" s="237"/>
      <c r="T15" s="237"/>
      <c r="U15" s="237"/>
      <c r="V15" s="237"/>
    </row>
    <row r="16" spans="2:27" ht="20.25" customHeight="1">
      <c r="B16" s="65">
        <v>12</v>
      </c>
      <c r="C16" s="951">
        <f>'8 R1 RH'!E15</f>
        <v>553251.9</v>
      </c>
      <c r="D16" s="952">
        <f>'9 R1 EE'!U15+'9 R1 EE'!W15+'9 R1 EE'!Y15</f>
        <v>490920.5570620927</v>
      </c>
      <c r="E16" s="116">
        <f>'10 PQ A SA'!F15+'10 PQ A AF'!F15+'10 PQ A CL'!F15+'11 R1 PQ E'!F15</f>
        <v>16078.51764681211</v>
      </c>
      <c r="F16" s="458">
        <f t="shared" si="0"/>
        <v>401794.78888514388</v>
      </c>
      <c r="G16" s="954">
        <f t="shared" si="1"/>
        <v>1462045.7635940486</v>
      </c>
      <c r="H16" s="116">
        <f>'8 R1 RH'!H15</f>
        <v>222919.5</v>
      </c>
      <c r="I16" s="116">
        <f t="shared" si="2"/>
        <v>139570.84070234848</v>
      </c>
      <c r="J16" s="459">
        <f t="shared" si="3"/>
        <v>362490.34070234851</v>
      </c>
      <c r="K16" s="955">
        <f>'R1 DEPR'!AH21</f>
        <v>745221.7237064041</v>
      </c>
      <c r="L16" s="166"/>
      <c r="M16" s="235">
        <v>502243.48610642983</v>
      </c>
      <c r="N16" s="235">
        <v>174463.55087793557</v>
      </c>
      <c r="O16" s="237"/>
      <c r="P16" s="237"/>
      <c r="Q16" s="237"/>
      <c r="R16" s="237"/>
      <c r="S16" s="237"/>
      <c r="T16" s="237"/>
      <c r="U16" s="237"/>
      <c r="V16" s="237"/>
    </row>
    <row r="17" spans="2:22" ht="20.25" customHeight="1">
      <c r="B17" s="65">
        <v>13</v>
      </c>
      <c r="C17" s="951">
        <f>'8 R1 RH'!E16</f>
        <v>553251.9</v>
      </c>
      <c r="D17" s="952">
        <f>'9 R1 EE'!U16+'9 R1 EE'!W16+'9 R1 EE'!Y16</f>
        <v>491624.76348001952</v>
      </c>
      <c r="E17" s="116">
        <f>'10 PQ A SA'!F16+'10 PQ A AF'!F16+'10 PQ A CL'!F16+'11 R1 PQ E'!F16</f>
        <v>16101.57888608165</v>
      </c>
      <c r="F17" s="458">
        <f t="shared" si="0"/>
        <v>401859.59436818259</v>
      </c>
      <c r="G17" s="954">
        <f t="shared" si="1"/>
        <v>1462837.8367342837</v>
      </c>
      <c r="H17" s="116">
        <f>'8 R1 RH'!H16</f>
        <v>222919.5</v>
      </c>
      <c r="I17" s="116">
        <f t="shared" si="2"/>
        <v>139617.49326174878</v>
      </c>
      <c r="J17" s="459">
        <f t="shared" si="3"/>
        <v>362536.99326174881</v>
      </c>
      <c r="K17" s="955">
        <f>'R1 DEPR'!AH22</f>
        <v>875944.51290035935</v>
      </c>
      <c r="L17" s="166"/>
      <c r="M17" s="235">
        <v>502324.49296022824</v>
      </c>
      <c r="N17" s="235">
        <v>174521.86657718595</v>
      </c>
      <c r="O17" s="237"/>
      <c r="P17" s="237"/>
      <c r="Q17" s="237"/>
      <c r="R17" s="237"/>
      <c r="S17" s="237"/>
      <c r="T17" s="237"/>
      <c r="U17" s="237"/>
      <c r="V17" s="237"/>
    </row>
    <row r="18" spans="2:22" ht="20.25" customHeight="1">
      <c r="B18" s="65">
        <v>14</v>
      </c>
      <c r="C18" s="951">
        <f>'8 R1 RH'!E17</f>
        <v>553251.9</v>
      </c>
      <c r="D18" s="952">
        <f>'9 R1 EE'!U17+'9 R1 EE'!W17+'9 R1 EE'!Y17</f>
        <v>492328.96989794611</v>
      </c>
      <c r="E18" s="116">
        <f>'10 PQ A SA'!F17+'10 PQ A AF'!F17+'10 PQ A CL'!F17+'11 R1 PQ E'!F17</f>
        <v>16124.640125351203</v>
      </c>
      <c r="F18" s="458">
        <f t="shared" si="0"/>
        <v>401924.39985122136</v>
      </c>
      <c r="G18" s="954">
        <f t="shared" si="1"/>
        <v>1463629.9098745186</v>
      </c>
      <c r="H18" s="116">
        <f>'8 R1 RH'!H17</f>
        <v>222919.5</v>
      </c>
      <c r="I18" s="116">
        <f t="shared" si="2"/>
        <v>139664.20954566196</v>
      </c>
      <c r="J18" s="459">
        <f t="shared" si="3"/>
        <v>362583.70954566193</v>
      </c>
      <c r="K18" s="955">
        <f>'R1 DEPR'!AH23</f>
        <v>879967.26312107325</v>
      </c>
      <c r="L18" s="166"/>
      <c r="M18" s="235">
        <v>502405.49981402664</v>
      </c>
      <c r="N18" s="235">
        <v>174580.26193207744</v>
      </c>
      <c r="O18" s="237"/>
      <c r="P18" s="237"/>
      <c r="Q18" s="237"/>
      <c r="R18" s="237"/>
      <c r="S18" s="237"/>
      <c r="T18" s="237"/>
      <c r="U18" s="237"/>
      <c r="V18" s="237"/>
    </row>
    <row r="19" spans="2:22" ht="20.25" customHeight="1">
      <c r="B19" s="65">
        <v>15</v>
      </c>
      <c r="C19" s="951">
        <f>'8 R1 RH'!E18</f>
        <v>553251.9</v>
      </c>
      <c r="D19" s="952">
        <f>'9 R1 EE'!U18+'9 R1 EE'!W18+'9 R1 EE'!Y18</f>
        <v>493033.1763158727</v>
      </c>
      <c r="E19" s="116">
        <f>'10 PQ A SA'!F18+'10 PQ A AF'!F18+'10 PQ A CL'!F18+'11 R1 PQ E'!F18</f>
        <v>16147.701364620751</v>
      </c>
      <c r="F19" s="458">
        <f t="shared" si="0"/>
        <v>401989.20533426024</v>
      </c>
      <c r="G19" s="954">
        <f t="shared" si="1"/>
        <v>1464421.9830147536</v>
      </c>
      <c r="H19" s="116">
        <f>'8 R1 RH'!H18</f>
        <v>222919.5</v>
      </c>
      <c r="I19" s="116">
        <f t="shared" si="2"/>
        <v>139710.9975196523</v>
      </c>
      <c r="J19" s="459">
        <f t="shared" si="3"/>
        <v>362630.4975196523</v>
      </c>
      <c r="K19" s="955">
        <f>'R1 DEPR'!AH24</f>
        <v>884241.43523058179</v>
      </c>
      <c r="L19" s="166"/>
      <c r="M19" s="235">
        <v>502486.50666782528</v>
      </c>
      <c r="N19" s="235">
        <v>174638.74689956536</v>
      </c>
      <c r="O19" s="237"/>
      <c r="P19" s="237"/>
      <c r="Q19" s="237"/>
      <c r="R19" s="237"/>
      <c r="S19" s="237"/>
      <c r="T19" s="237"/>
      <c r="U19" s="237"/>
      <c r="V19" s="237"/>
    </row>
    <row r="20" spans="2:22" ht="20.25" customHeight="1">
      <c r="B20" s="65">
        <v>16</v>
      </c>
      <c r="C20" s="951">
        <f>'8 R1 RH'!E19</f>
        <v>553251.9</v>
      </c>
      <c r="D20" s="952">
        <f>'9 R1 EE'!U19+'9 R1 EE'!W19+'9 R1 EE'!Y19</f>
        <v>493612.01936735166</v>
      </c>
      <c r="E20" s="116">
        <f>'10 PQ A SA'!F19+'10 PQ A AF'!F19+'10 PQ A CL'!F19+'11 R1 PQ E'!F19</f>
        <v>16166.143434356836</v>
      </c>
      <c r="F20" s="458">
        <f t="shared" si="0"/>
        <v>402043.81998414529</v>
      </c>
      <c r="G20" s="954">
        <f t="shared" si="1"/>
        <v>1465073.8827858537</v>
      </c>
      <c r="H20" s="116">
        <f>'8 R1 RH'!H19</f>
        <v>222919.5</v>
      </c>
      <c r="I20" s="116">
        <f t="shared" si="2"/>
        <v>139777.04</v>
      </c>
      <c r="J20" s="459">
        <f t="shared" si="3"/>
        <v>362696.54000000004</v>
      </c>
      <c r="K20" s="955">
        <f>'R1 DEPR'!AH25</f>
        <v>888800.5521473909</v>
      </c>
      <c r="L20" s="166"/>
      <c r="M20" s="235">
        <v>502554.7749801816</v>
      </c>
      <c r="N20" s="235">
        <v>174721.3</v>
      </c>
      <c r="O20" s="237"/>
      <c r="P20" s="237"/>
      <c r="Q20" s="237"/>
      <c r="R20" s="237"/>
      <c r="S20" s="237"/>
      <c r="T20" s="237"/>
      <c r="U20" s="237"/>
      <c r="V20" s="237"/>
    </row>
    <row r="21" spans="2:22" ht="20.25" customHeight="1">
      <c r="B21" s="65">
        <v>17</v>
      </c>
      <c r="C21" s="951">
        <f>'8 R1 RH'!E20</f>
        <v>553251.9</v>
      </c>
      <c r="D21" s="952">
        <f>'9 R1 EE'!U20+'9 R1 EE'!W20+'9 R1 EE'!Y20</f>
        <v>494186.17130256217</v>
      </c>
      <c r="E21" s="116">
        <f>'10 PQ A SA'!F20+'10 PQ A AF'!F20+'10 PQ A CL'!F20+'11 R1 PQ E'!F20</f>
        <v>16184.911737817845</v>
      </c>
      <c r="F21" s="458">
        <f t="shared" si="0"/>
        <v>402096.74885431846</v>
      </c>
      <c r="G21" s="954">
        <f t="shared" si="1"/>
        <v>1465719.7318946985</v>
      </c>
      <c r="H21" s="116">
        <f>'8 R1 RH'!H20</f>
        <v>222919.5</v>
      </c>
      <c r="I21" s="116">
        <f t="shared" si="2"/>
        <v>139793.16594447548</v>
      </c>
      <c r="J21" s="459">
        <f t="shared" si="3"/>
        <v>362712.66594447545</v>
      </c>
      <c r="K21" s="955">
        <f>'R1 DEPR'!AH26</f>
        <v>893307.60598682927</v>
      </c>
      <c r="L21" s="166"/>
      <c r="M21" s="235">
        <v>502620.93606789806</v>
      </c>
      <c r="N21" s="235">
        <v>174741.45743059434</v>
      </c>
      <c r="O21" s="237"/>
      <c r="P21" s="237"/>
      <c r="Q21" s="237"/>
      <c r="R21" s="237"/>
      <c r="S21" s="237"/>
      <c r="T21" s="237"/>
      <c r="U21" s="237"/>
      <c r="V21" s="237"/>
    </row>
    <row r="22" spans="2:22" ht="20.25" customHeight="1">
      <c r="B22" s="65">
        <v>18</v>
      </c>
      <c r="C22" s="951">
        <f>'8 R1 RH'!E21</f>
        <v>553251.9</v>
      </c>
      <c r="D22" s="952">
        <f>'9 R1 EE'!U21+'9 R1 EE'!W21+'9 R1 EE'!Y21</f>
        <v>494759.40497506119</v>
      </c>
      <c r="E22" s="116">
        <f>'10 PQ A SA'!F21+'10 PQ A AF'!F21+'10 PQ A CL'!F21+'11 R1 PQ E'!F21</f>
        <v>16203.680041278865</v>
      </c>
      <c r="F22" s="458">
        <f t="shared" si="0"/>
        <v>402149.52022612467</v>
      </c>
      <c r="G22" s="954">
        <f t="shared" si="1"/>
        <v>1466364.5052424648</v>
      </c>
      <c r="H22" s="116">
        <f>'8 R1 RH'!H21</f>
        <v>222919.5</v>
      </c>
      <c r="I22" s="116">
        <f t="shared" si="2"/>
        <v>139832.49800359353</v>
      </c>
      <c r="J22" s="459">
        <f t="shared" si="3"/>
        <v>362751.99800359353</v>
      </c>
      <c r="K22" s="955">
        <f>'R1 DEPR'!AH27</f>
        <v>898161.35627545521</v>
      </c>
      <c r="L22" s="166"/>
      <c r="M22" s="235">
        <v>502686.90028265584</v>
      </c>
      <c r="N22" s="235">
        <v>174790.62250449191</v>
      </c>
      <c r="O22" s="237"/>
      <c r="P22" s="237"/>
      <c r="Q22" s="237"/>
      <c r="R22" s="237"/>
      <c r="S22" s="237"/>
      <c r="T22" s="237"/>
      <c r="U22" s="237"/>
      <c r="V22" s="237"/>
    </row>
    <row r="23" spans="2:22" s="158" customFormat="1" ht="20.25" customHeight="1">
      <c r="B23" s="65">
        <v>19</v>
      </c>
      <c r="C23" s="951">
        <f>'8 R1 RH'!E22</f>
        <v>553251.9</v>
      </c>
      <c r="D23" s="952">
        <f>'9 R1 EE'!U22+'9 R1 EE'!W22+'9 R1 EE'!Y22</f>
        <v>495332.63864756015</v>
      </c>
      <c r="E23" s="116">
        <f>'10 PQ A SA'!F22+'10 PQ A AF'!F22+'10 PQ A CL'!F22+'11 R1 PQ E'!F22</f>
        <v>16222.448344739874</v>
      </c>
      <c r="F23" s="458">
        <f t="shared" si="0"/>
        <v>402302.29159793071</v>
      </c>
      <c r="G23" s="954">
        <f t="shared" si="1"/>
        <v>1467109.2785902307</v>
      </c>
      <c r="H23" s="116">
        <f>'8 R1 RH'!H22</f>
        <v>222919.5</v>
      </c>
      <c r="I23" s="116">
        <f t="shared" si="2"/>
        <v>139870.30886980714</v>
      </c>
      <c r="J23" s="459">
        <f t="shared" si="3"/>
        <v>362789.80886980717</v>
      </c>
      <c r="K23" s="955">
        <f>'R1 DEPR'!AH28</f>
        <v>903419.58575479989</v>
      </c>
      <c r="L23" s="166"/>
      <c r="M23" s="235">
        <v>502877.86449741339</v>
      </c>
      <c r="N23" s="236">
        <v>174837.8860872589</v>
      </c>
      <c r="O23" s="237"/>
      <c r="P23" s="237"/>
      <c r="Q23" s="237"/>
      <c r="R23" s="237"/>
      <c r="S23" s="237"/>
      <c r="T23" s="237"/>
      <c r="U23" s="237"/>
      <c r="V23" s="237"/>
    </row>
    <row r="24" spans="2:22" ht="20.25" customHeight="1">
      <c r="B24" s="65">
        <v>20</v>
      </c>
      <c r="C24" s="951">
        <f>'8 R1 RH'!E23</f>
        <v>553251.9</v>
      </c>
      <c r="D24" s="952">
        <f>'9 R1 EE'!U23+'9 R1 EE'!W23+'9 R1 EE'!Y23</f>
        <v>495905.87232005922</v>
      </c>
      <c r="E24" s="116">
        <f>'10 PQ A SA'!F23+'10 PQ A AF'!F23+'10 PQ A CL'!F23+'11 R1 PQ E'!F23</f>
        <v>16241.216648200887</v>
      </c>
      <c r="F24" s="458">
        <f t="shared" si="0"/>
        <v>402355.06296973687</v>
      </c>
      <c r="G24" s="954">
        <f t="shared" si="1"/>
        <v>1467754.0519379969</v>
      </c>
      <c r="H24" s="116">
        <f>'8 R1 RH'!H23</f>
        <v>222919.5</v>
      </c>
      <c r="I24" s="116">
        <f t="shared" si="2"/>
        <v>139906.10956597811</v>
      </c>
      <c r="J24" s="459">
        <f t="shared" si="3"/>
        <v>362825.60956597811</v>
      </c>
      <c r="K24" s="955">
        <f>'R1 DEPR'!AH29</f>
        <v>909155.83609590319</v>
      </c>
      <c r="L24" s="166"/>
      <c r="M24" s="235">
        <v>502943.82871217106</v>
      </c>
      <c r="N24" s="235">
        <v>174882.63695747263</v>
      </c>
      <c r="O24" s="237"/>
      <c r="P24" s="237"/>
      <c r="Q24" s="237"/>
      <c r="R24" s="237"/>
      <c r="S24" s="237"/>
      <c r="T24" s="237"/>
      <c r="U24" s="237"/>
      <c r="V24" s="237"/>
    </row>
    <row r="25" spans="2:22" ht="20.25" customHeight="1">
      <c r="B25" s="65">
        <v>21</v>
      </c>
      <c r="C25" s="951">
        <f>'8 R1 RH'!E24</f>
        <v>553251.9</v>
      </c>
      <c r="D25" s="952">
        <f>'9 R1 EE'!U24+'9 R1 EE'!W24+'9 R1 EE'!Y24</f>
        <v>496595.18385540805</v>
      </c>
      <c r="E25" s="116">
        <f>'10 PQ A SA'!F24+'10 PQ A AF'!F24+'10 PQ A CL'!F24+'11 R1 PQ E'!F24</f>
        <v>16264.319313534354</v>
      </c>
      <c r="F25" s="458">
        <f t="shared" si="0"/>
        <v>402417.270352769</v>
      </c>
      <c r="G25" s="954">
        <f t="shared" si="1"/>
        <v>1468528.6735217113</v>
      </c>
      <c r="H25" s="116">
        <f>'8 R1 RH'!H24</f>
        <v>222919.5</v>
      </c>
      <c r="I25" s="116">
        <f t="shared" si="2"/>
        <v>139938.48000000001</v>
      </c>
      <c r="J25" s="459">
        <f t="shared" si="3"/>
        <v>362857.98</v>
      </c>
      <c r="K25" s="955">
        <f>'R1 DEPR'!AH30</f>
        <v>915465.71147111687</v>
      </c>
      <c r="L25" s="166"/>
      <c r="M25" s="235">
        <v>503021.58794096124</v>
      </c>
      <c r="N25" s="235">
        <v>174923.1</v>
      </c>
      <c r="O25" s="237"/>
      <c r="P25" s="237"/>
      <c r="Q25" s="237"/>
      <c r="R25" s="237"/>
      <c r="S25" s="237"/>
      <c r="T25" s="237"/>
      <c r="U25" s="237"/>
      <c r="V25" s="237"/>
    </row>
    <row r="26" spans="2:22" ht="20.25" customHeight="1">
      <c r="B26" s="65">
        <v>22</v>
      </c>
      <c r="C26" s="951">
        <f>'8 R1 RH'!E25</f>
        <v>553251.9</v>
      </c>
      <c r="D26" s="952">
        <f>'9 R1 EE'!U25+'9 R1 EE'!W25+'9 R1 EE'!Y25</f>
        <v>497111.64190462325</v>
      </c>
      <c r="E26" s="116">
        <f>'10 PQ A SA'!F25+'10 PQ A AF'!F25+'10 PQ A CL'!F25+'11 R1 PQ E'!F25</f>
        <v>16280.34814305808</v>
      </c>
      <c r="F26" s="458">
        <f t="shared" si="0"/>
        <v>402466.94887976174</v>
      </c>
      <c r="G26" s="954">
        <f t="shared" si="1"/>
        <v>1469110.8389274431</v>
      </c>
      <c r="H26" s="116">
        <f>'8 R1 RH'!H25</f>
        <v>222919.5</v>
      </c>
      <c r="I26" s="116">
        <f t="shared" si="2"/>
        <v>139991.74421609644</v>
      </c>
      <c r="J26" s="459">
        <f t="shared" si="3"/>
        <v>362911.24421609647</v>
      </c>
      <c r="K26" s="955">
        <f>'R1 DEPR'!AH31</f>
        <v>923109.46188802097</v>
      </c>
      <c r="L26" s="166"/>
      <c r="M26" s="235">
        <v>503083.68609970214</v>
      </c>
      <c r="N26" s="235">
        <v>174989.68027012053</v>
      </c>
    </row>
    <row r="27" spans="2:22" s="158" customFormat="1" ht="20.25" customHeight="1">
      <c r="B27" s="65">
        <v>23</v>
      </c>
      <c r="C27" s="951">
        <f>'8 R1 RH'!E26</f>
        <v>553251.9</v>
      </c>
      <c r="D27" s="952">
        <f>'9 R1 EE'!U26+'9 R1 EE'!W26+'9 R1 EE'!Y26</f>
        <v>497601.16502573498</v>
      </c>
      <c r="E27" s="116">
        <f>'10 PQ A SA'!F26+'10 PQ A AF'!F26+'10 PQ A CL'!F26+'11 R1 PQ E'!F26</f>
        <v>16296.376972581807</v>
      </c>
      <c r="F27" s="458">
        <f t="shared" si="0"/>
        <v>402512.00758811249</v>
      </c>
      <c r="G27" s="954">
        <f t="shared" si="1"/>
        <v>1469661.4495864292</v>
      </c>
      <c r="H27" s="116">
        <f>'8 R1 RH'!H26</f>
        <v>222919.5</v>
      </c>
      <c r="I27" s="116">
        <f t="shared" si="2"/>
        <v>140024.19064760717</v>
      </c>
      <c r="J27" s="459">
        <f t="shared" si="3"/>
        <v>362943.6906476072</v>
      </c>
      <c r="K27" s="955">
        <f>'R1 DEPR'!AH32</f>
        <v>930539.30610703805</v>
      </c>
      <c r="L27" s="166"/>
      <c r="M27" s="235">
        <v>503140.00948514056</v>
      </c>
      <c r="N27" s="236">
        <v>175030.23830950898</v>
      </c>
    </row>
    <row r="28" spans="2:22" s="158" customFormat="1" ht="20.25" customHeight="1">
      <c r="B28" s="65">
        <v>24</v>
      </c>
      <c r="C28" s="951">
        <f>'8 R1 RH'!E27</f>
        <v>553251.9</v>
      </c>
      <c r="D28" s="952">
        <f>'9 R1 EE'!U27+'9 R1 EE'!W27+'9 R1 EE'!Y27</f>
        <v>498090.68814684672</v>
      </c>
      <c r="E28" s="116">
        <f>'10 PQ A SA'!F27+'10 PQ A AF'!F27+'10 PQ A CL'!F27+'11 R1 PQ E'!F27</f>
        <v>16312.405802105539</v>
      </c>
      <c r="F28" s="458">
        <f t="shared" si="0"/>
        <v>402557.06629646337</v>
      </c>
      <c r="G28" s="954">
        <f t="shared" si="1"/>
        <v>1470212.0602454157</v>
      </c>
      <c r="H28" s="116">
        <f>'8 R1 RH'!H27</f>
        <v>222919.5</v>
      </c>
      <c r="I28" s="116">
        <f t="shared" si="2"/>
        <v>140058.61100334622</v>
      </c>
      <c r="J28" s="459">
        <f t="shared" si="3"/>
        <v>362978.11100334622</v>
      </c>
      <c r="K28" s="955">
        <f>'R1 DEPR'!AH33</f>
        <v>939030.55664305761</v>
      </c>
      <c r="L28" s="166"/>
      <c r="M28" s="235">
        <v>503196.33287057921</v>
      </c>
      <c r="N28" s="236">
        <v>175073.26375418276</v>
      </c>
    </row>
    <row r="29" spans="2:22" ht="20.25" customHeight="1">
      <c r="B29" s="65">
        <v>25</v>
      </c>
      <c r="C29" s="951">
        <f>'8 R1 RH'!E28</f>
        <v>553251.9</v>
      </c>
      <c r="D29" s="952">
        <f>'9 R1 EE'!U28+'9 R1 EE'!W28+'9 R1 EE'!Y28</f>
        <v>498580.2112679584</v>
      </c>
      <c r="E29" s="116">
        <f>'10 PQ A SA'!F28+'10 PQ A AF'!F28+'10 PQ A CL'!F28+'11 R1 PQ E'!F28</f>
        <v>16328.434631629261</v>
      </c>
      <c r="F29" s="458">
        <f t="shared" si="0"/>
        <v>402602.12500481395</v>
      </c>
      <c r="G29" s="954">
        <f t="shared" si="1"/>
        <v>1470762.6709044015</v>
      </c>
      <c r="H29" s="116">
        <f>'8 R1 RH'!H28</f>
        <v>222919.5</v>
      </c>
      <c r="I29" s="116">
        <f t="shared" si="2"/>
        <v>140093.42385767962</v>
      </c>
      <c r="J29" s="459">
        <f t="shared" si="3"/>
        <v>363012.92385767959</v>
      </c>
      <c r="K29" s="955">
        <f>'R1 DEPR'!AH34</f>
        <v>948937.01560174709</v>
      </c>
      <c r="L29" s="166"/>
      <c r="M29" s="235">
        <v>503252.65625601739</v>
      </c>
      <c r="N29" s="235">
        <v>175116.77982209952</v>
      </c>
    </row>
    <row r="30" spans="2:22" ht="20.25" customHeight="1">
      <c r="B30" s="65">
        <v>26</v>
      </c>
      <c r="C30" s="951">
        <f>'8 R1 RH'!E29</f>
        <v>553251.9</v>
      </c>
      <c r="D30" s="952">
        <f>'9 R1 EE'!U29+'9 R1 EE'!W29+'9 R1 EE'!Y29</f>
        <v>499259.46152948157</v>
      </c>
      <c r="E30" s="116">
        <f>'10 PQ A SA'!F29+'10 PQ A AF'!F29+'10 PQ A CL'!F29+'11 R1 PQ E'!F29</f>
        <v>16351.537299443749</v>
      </c>
      <c r="F30" s="458">
        <f t="shared" si="0"/>
        <v>402662.60670065647</v>
      </c>
      <c r="G30" s="954">
        <f t="shared" si="1"/>
        <v>1471525.5055295818</v>
      </c>
      <c r="H30" s="116">
        <f>'8 R1 RH'!H29</f>
        <v>222919.5</v>
      </c>
      <c r="I30" s="116">
        <f t="shared" si="2"/>
        <v>140177.50400000002</v>
      </c>
      <c r="J30" s="459">
        <f t="shared" si="3"/>
        <v>363097.00400000002</v>
      </c>
      <c r="K30" s="955">
        <f>'R1 DEPR'!AH35</f>
        <v>960824.76635217445</v>
      </c>
      <c r="L30" s="166"/>
      <c r="M30" s="235">
        <v>503328.25837582059</v>
      </c>
      <c r="N30" s="235">
        <v>175221.88</v>
      </c>
    </row>
    <row r="31" spans="2:22" ht="20.25" customHeight="1">
      <c r="B31" s="65">
        <v>27</v>
      </c>
      <c r="C31" s="951">
        <f>'8 R1 RH'!E30</f>
        <v>553251.9</v>
      </c>
      <c r="D31" s="952">
        <f>'9 R1 EE'!U30+'9 R1 EE'!W30+'9 R1 EE'!Y30</f>
        <v>499796.89372358366</v>
      </c>
      <c r="E31" s="116">
        <f>'10 PQ A SA'!F30+'10 PQ A AF'!F30+'10 PQ A CL'!F30+'11 R1 PQ E'!F30</f>
        <v>16368.34292048484</v>
      </c>
      <c r="F31" s="458">
        <f t="shared" si="0"/>
        <v>402713.99023704906</v>
      </c>
      <c r="G31" s="954">
        <f t="shared" si="1"/>
        <v>1472131.1268811177</v>
      </c>
      <c r="H31" s="116">
        <f>'8 R1 RH'!H30</f>
        <v>222919.5</v>
      </c>
      <c r="I31" s="116">
        <f t="shared" si="2"/>
        <v>140177.5076275403</v>
      </c>
      <c r="J31" s="459">
        <f t="shared" si="3"/>
        <v>363097.00762754027</v>
      </c>
      <c r="K31" s="955">
        <f>'R1 DEPR'!AH36</f>
        <v>978023.20479020861</v>
      </c>
      <c r="L31" s="166"/>
      <c r="M31" s="235">
        <v>503392.48779631127</v>
      </c>
      <c r="N31" s="235">
        <v>175221.88453442536</v>
      </c>
    </row>
    <row r="32" spans="2:22" ht="20.25" customHeight="1">
      <c r="B32" s="65">
        <v>28</v>
      </c>
      <c r="C32" s="951">
        <f>'8 R1 RH'!E31</f>
        <v>553251.9</v>
      </c>
      <c r="D32" s="952">
        <f>'9 R1 EE'!U31+'9 R1 EE'!W31+'9 R1 EE'!Y31</f>
        <v>500320.77892254677</v>
      </c>
      <c r="E32" s="116">
        <f>'10 PQ A SA'!F31+'10 PQ A AF'!F31+'10 PQ A CL'!F31+'11 R1 PQ E'!F31</f>
        <v>16385.557657312653</v>
      </c>
      <c r="F32" s="458">
        <f t="shared" si="0"/>
        <v>402762.08232708368</v>
      </c>
      <c r="G32" s="954">
        <f t="shared" si="1"/>
        <v>1472720.3189069431</v>
      </c>
      <c r="H32" s="116">
        <f>'8 R1 RH'!H31</f>
        <v>222919.5</v>
      </c>
      <c r="I32" s="116">
        <f t="shared" si="2"/>
        <v>140215.68987865516</v>
      </c>
      <c r="J32" s="459">
        <f t="shared" si="3"/>
        <v>363135.18987865513</v>
      </c>
      <c r="K32" s="955">
        <f>'R1 DEPR'!AH37</f>
        <v>998107.45604092081</v>
      </c>
      <c r="L32" s="166"/>
      <c r="M32" s="235">
        <v>503452.60290885461</v>
      </c>
      <c r="N32" s="235">
        <v>175269.61234831894</v>
      </c>
    </row>
    <row r="33" spans="2:14" ht="20.25" customHeight="1">
      <c r="B33" s="65">
        <v>29</v>
      </c>
      <c r="C33" s="951">
        <f>'8 R1 RH'!E32</f>
        <v>553251.9</v>
      </c>
      <c r="D33" s="952">
        <f>'9 R1 EE'!U32+'9 R1 EE'!W32+'9 R1 EE'!Y32</f>
        <v>500867.7180223316</v>
      </c>
      <c r="E33" s="116">
        <f>'10 PQ A SA'!F32+'10 PQ A AF'!F32+'10 PQ A CL'!F32+'11 R1 PQ E'!F32</f>
        <v>16403.549179438916</v>
      </c>
      <c r="F33" s="458">
        <f t="shared" si="0"/>
        <v>402812.23614160577</v>
      </c>
      <c r="G33" s="954">
        <f t="shared" si="1"/>
        <v>1473335.4033433762</v>
      </c>
      <c r="H33" s="116">
        <f>'8 R1 RH'!H32</f>
        <v>222919.5</v>
      </c>
      <c r="I33" s="116">
        <f t="shared" si="2"/>
        <v>140260.68092086641</v>
      </c>
      <c r="J33" s="459">
        <f t="shared" si="3"/>
        <v>363180.18092086643</v>
      </c>
      <c r="K33" s="955">
        <f>'R1 DEPR'!AH38</f>
        <v>1028640.8329169891</v>
      </c>
      <c r="L33" s="166"/>
      <c r="M33" s="235">
        <v>503515.29517700721</v>
      </c>
      <c r="N33" s="235">
        <v>175325.85115108298</v>
      </c>
    </row>
    <row r="34" spans="2:14" ht="20.25" customHeight="1" thickBot="1">
      <c r="B34" s="439">
        <v>30</v>
      </c>
      <c r="C34" s="951">
        <f>'8 R1 RH'!E33</f>
        <v>553251.9</v>
      </c>
      <c r="D34" s="952">
        <f>'9 R1 EE'!U33+'9 R1 EE'!W33+'9 R1 EE'!Y33</f>
        <v>501196.36969936022</v>
      </c>
      <c r="E34" s="116">
        <f>'10 PQ A SA'!F33+'10 PQ A AF'!F33+'10 PQ A CL'!F33+'11 R1 PQ E'!F33</f>
        <v>16413.322066103116</v>
      </c>
      <c r="F34" s="458">
        <f t="shared" si="0"/>
        <v>402844.88533489278</v>
      </c>
      <c r="G34" s="954">
        <f t="shared" si="1"/>
        <v>1473706.477100356</v>
      </c>
      <c r="H34" s="116">
        <f>'8 R1 RH'!H33</f>
        <v>222919.5</v>
      </c>
      <c r="I34" s="116">
        <f t="shared" si="2"/>
        <v>140301.06991323733</v>
      </c>
      <c r="J34" s="459">
        <f t="shared" si="3"/>
        <v>363220.56991323736</v>
      </c>
      <c r="K34" s="955">
        <f>'R1 DEPR'!AH39</f>
        <v>1150372.8346658584</v>
      </c>
      <c r="L34" s="166"/>
      <c r="M34" s="235">
        <v>503556.10666861595</v>
      </c>
      <c r="N34" s="235">
        <v>175376.33739154667</v>
      </c>
    </row>
    <row r="35" spans="2:14" ht="20.25" customHeight="1" thickBot="1">
      <c r="B35" s="412" t="s">
        <v>121</v>
      </c>
      <c r="C35" s="953">
        <f t="shared" ref="C35:K35" si="4">SUM(C5:C34)</f>
        <v>16472445.540000008</v>
      </c>
      <c r="D35" s="953">
        <f t="shared" si="4"/>
        <v>14615965.937531687</v>
      </c>
      <c r="E35" s="953">
        <f t="shared" si="4"/>
        <v>477854.6330623313</v>
      </c>
      <c r="F35" s="440">
        <f t="shared" si="4"/>
        <v>11346220.251833245</v>
      </c>
      <c r="G35" s="953">
        <f t="shared" si="4"/>
        <v>42912486.362427257</v>
      </c>
      <c r="H35" s="440">
        <f t="shared" si="4"/>
        <v>6501818.75</v>
      </c>
      <c r="I35" s="440">
        <f t="shared" si="4"/>
        <v>4365715.761531245</v>
      </c>
      <c r="J35" s="440">
        <f t="shared" si="4"/>
        <v>10867534.511531249</v>
      </c>
      <c r="K35" s="953">
        <f t="shared" si="4"/>
        <v>20517119.663628098</v>
      </c>
      <c r="M35" s="235">
        <f>SUM(M5:M34)</f>
        <v>14182775.314791555</v>
      </c>
      <c r="N35" s="235">
        <f>SUM(N5:N34)</f>
        <v>5457144.7019140543</v>
      </c>
    </row>
    <row r="36" spans="2:14">
      <c r="B36" s="164"/>
      <c r="C36" s="170"/>
      <c r="D36" s="164"/>
      <c r="E36" s="170"/>
      <c r="F36" s="164"/>
      <c r="G36" s="170"/>
      <c r="H36" s="164"/>
      <c r="I36" s="170"/>
      <c r="N36" s="237">
        <f>M35+N35</f>
        <v>19639920.01670561</v>
      </c>
    </row>
    <row r="37" spans="2:14" ht="30" customHeight="1">
      <c r="G37" s="159">
        <f>G35+J35+K35</f>
        <v>74297140.5375866</v>
      </c>
    </row>
    <row r="38" spans="2:14" ht="30" customHeight="1"/>
    <row r="39" spans="2:14" ht="30" customHeight="1">
      <c r="C39" s="157" t="s">
        <v>265</v>
      </c>
      <c r="D39" s="159">
        <f>C35+H35</f>
        <v>22974264.290000007</v>
      </c>
      <c r="E39" s="233">
        <f>D39/$D$43</f>
        <v>0.42718957554597486</v>
      </c>
    </row>
    <row r="40" spans="2:14" ht="30" customHeight="1">
      <c r="C40" s="157" t="s">
        <v>268</v>
      </c>
      <c r="D40" s="159">
        <f>D35</f>
        <v>14615965.937531687</v>
      </c>
      <c r="E40" s="233">
        <f>D40/$D$43</f>
        <v>0.27177315478895742</v>
      </c>
    </row>
    <row r="41" spans="2:14" ht="30" customHeight="1">
      <c r="C41" s="157" t="s">
        <v>269</v>
      </c>
      <c r="D41" s="159">
        <f>+E35</f>
        <v>477854.6330623313</v>
      </c>
      <c r="E41" s="233">
        <f>D41/$D$43</f>
        <v>8.885356035510935E-3</v>
      </c>
    </row>
    <row r="42" spans="2:14" ht="30" customHeight="1">
      <c r="C42" s="157" t="s">
        <v>171</v>
      </c>
      <c r="D42" s="159">
        <f>+F35+I35</f>
        <v>15711936.01336449</v>
      </c>
      <c r="E42" s="233">
        <f>D42/$D$43</f>
        <v>0.29215191362955684</v>
      </c>
    </row>
    <row r="43" spans="2:14" ht="30" customHeight="1">
      <c r="D43" s="159">
        <f>SUM(D39:D42)</f>
        <v>53780020.873958513</v>
      </c>
      <c r="J43" s="159">
        <f>G35+J35</f>
        <v>53780020.873958506</v>
      </c>
    </row>
  </sheetData>
  <mergeCells count="11">
    <mergeCell ref="K3:K4"/>
    <mergeCell ref="B1:K1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rintOptions horizontalCentered="1"/>
  <pageMargins left="0.98425196850393704" right="0.59055118110236227" top="1.9685039370078741" bottom="1.0629921259842521" header="0.39370078740157483" footer="0.39370078740157483"/>
  <pageSetup paperSize="9" scale="57" orientation="portrait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51">
    <tabColor rgb="FF7030A0"/>
  </sheetPr>
  <dimension ref="A1:AJ125"/>
  <sheetViews>
    <sheetView topLeftCell="A39" zoomScale="70" zoomScaleNormal="70" workbookViewId="0">
      <selection activeCell="P102" sqref="P102"/>
    </sheetView>
  </sheetViews>
  <sheetFormatPr defaultRowHeight="12.75"/>
  <cols>
    <col min="1" max="1" width="5.140625" style="172" customWidth="1"/>
    <col min="2" max="2" width="34" style="172" customWidth="1"/>
    <col min="3" max="3" width="10.5703125" style="201" customWidth="1"/>
    <col min="4" max="4" width="13" style="774" bestFit="1" customWidth="1"/>
    <col min="5" max="5" width="17.28515625" style="172" customWidth="1"/>
    <col min="6" max="6" width="20.5703125" style="172" customWidth="1"/>
    <col min="7" max="36" width="13.7109375" customWidth="1"/>
  </cols>
  <sheetData>
    <row r="1" spans="1:36" ht="15.75">
      <c r="A1" s="481" t="s">
        <v>139</v>
      </c>
      <c r="B1" s="481"/>
      <c r="C1" s="481"/>
      <c r="D1" s="481"/>
      <c r="E1" s="481"/>
      <c r="F1" s="481"/>
      <c r="G1" s="1034"/>
      <c r="H1" s="1034"/>
      <c r="I1" s="1034"/>
      <c r="J1" s="488"/>
      <c r="K1" s="488"/>
      <c r="L1" s="488"/>
      <c r="M1" s="488"/>
      <c r="N1" s="488"/>
      <c r="O1" s="488"/>
      <c r="P1" s="488"/>
    </row>
    <row r="2" spans="1:36">
      <c r="G2" s="1035" t="s">
        <v>140</v>
      </c>
      <c r="H2" s="1036"/>
      <c r="I2" s="1036"/>
      <c r="J2" s="1036"/>
      <c r="K2" s="1036"/>
      <c r="L2" s="1036"/>
      <c r="M2" s="1036"/>
      <c r="N2" s="1036"/>
      <c r="O2" s="1036"/>
      <c r="P2" s="1036"/>
      <c r="Q2" s="1012"/>
      <c r="R2" s="1012"/>
      <c r="S2" s="1012"/>
      <c r="T2" s="1012"/>
      <c r="U2" s="1012"/>
      <c r="V2" s="1012"/>
      <c r="W2" s="1012"/>
      <c r="X2" s="1012"/>
      <c r="Y2" s="1012"/>
      <c r="Z2" s="1012"/>
      <c r="AA2" s="1012"/>
      <c r="AB2" s="1012"/>
      <c r="AC2" s="1012"/>
      <c r="AD2" s="1012"/>
      <c r="AE2" s="1012"/>
      <c r="AF2" s="1012"/>
      <c r="AG2" s="1012"/>
      <c r="AH2" s="1012"/>
      <c r="AI2" s="1012"/>
      <c r="AJ2" s="1012"/>
    </row>
    <row r="3" spans="1:36">
      <c r="A3" s="1037"/>
      <c r="B3" s="1038"/>
      <c r="C3" s="1039" t="s">
        <v>141</v>
      </c>
      <c r="D3" s="1039" t="s">
        <v>142</v>
      </c>
      <c r="E3" s="1039" t="s">
        <v>143</v>
      </c>
      <c r="F3" s="1040" t="s">
        <v>144</v>
      </c>
      <c r="G3" s="1041" t="s">
        <v>528</v>
      </c>
      <c r="H3" s="1041" t="s">
        <v>529</v>
      </c>
      <c r="I3" s="1041" t="s">
        <v>530</v>
      </c>
      <c r="J3" s="1041" t="s">
        <v>531</v>
      </c>
      <c r="K3" s="1041" t="s">
        <v>532</v>
      </c>
      <c r="L3" s="1041" t="s">
        <v>533</v>
      </c>
      <c r="M3" s="1041" t="s">
        <v>534</v>
      </c>
      <c r="N3" s="1041" t="s">
        <v>535</v>
      </c>
      <c r="O3" s="1041" t="s">
        <v>536</v>
      </c>
      <c r="P3" s="1041" t="s">
        <v>537</v>
      </c>
      <c r="Q3" s="1041" t="s">
        <v>538</v>
      </c>
      <c r="R3" s="1041" t="s">
        <v>539</v>
      </c>
      <c r="S3" s="1041" t="s">
        <v>540</v>
      </c>
      <c r="T3" s="1041" t="s">
        <v>541</v>
      </c>
      <c r="U3" s="1041" t="s">
        <v>542</v>
      </c>
      <c r="V3" s="1041" t="s">
        <v>187</v>
      </c>
      <c r="W3" s="1041" t="s">
        <v>188</v>
      </c>
      <c r="X3" s="1041" t="s">
        <v>189</v>
      </c>
      <c r="Y3" s="1041" t="s">
        <v>190</v>
      </c>
      <c r="Z3" s="1041" t="s">
        <v>191</v>
      </c>
      <c r="AA3" s="1041" t="s">
        <v>192</v>
      </c>
      <c r="AB3" s="1041" t="s">
        <v>193</v>
      </c>
      <c r="AC3" s="1041" t="s">
        <v>194</v>
      </c>
      <c r="AD3" s="1041" t="s">
        <v>195</v>
      </c>
      <c r="AE3" s="1041" t="s">
        <v>196</v>
      </c>
      <c r="AF3" s="1041" t="s">
        <v>197</v>
      </c>
      <c r="AG3" s="1041" t="s">
        <v>198</v>
      </c>
      <c r="AH3" s="1041" t="s">
        <v>199</v>
      </c>
      <c r="AI3" s="1041" t="s">
        <v>200</v>
      </c>
      <c r="AJ3" s="1041" t="s">
        <v>201</v>
      </c>
    </row>
    <row r="4" spans="1:36" s="1046" customFormat="1">
      <c r="A4" s="1307">
        <v>1</v>
      </c>
      <c r="B4" s="1309" t="s">
        <v>145</v>
      </c>
      <c r="C4" s="1042"/>
      <c r="D4" s="1043" t="s">
        <v>570</v>
      </c>
      <c r="E4" s="1043"/>
      <c r="F4" s="1044">
        <v>2716172.4824640313</v>
      </c>
      <c r="G4" s="1045">
        <v>415657.32533219026</v>
      </c>
      <c r="H4" s="1045">
        <v>276066.08191973524</v>
      </c>
      <c r="I4" s="1045">
        <v>179425.64556351057</v>
      </c>
      <c r="J4" s="1045">
        <v>985469.68437296071</v>
      </c>
      <c r="K4" s="1045">
        <v>33061.865972076979</v>
      </c>
      <c r="L4" s="1045">
        <v>33061.865972076979</v>
      </c>
      <c r="M4" s="1045">
        <v>33061.865972076979</v>
      </c>
      <c r="N4" s="1045">
        <v>33061.865972076979</v>
      </c>
      <c r="O4" s="1045">
        <v>33061.865972076979</v>
      </c>
      <c r="P4" s="1045">
        <v>33061.865972076979</v>
      </c>
      <c r="Q4" s="1045">
        <v>33061.865972076979</v>
      </c>
      <c r="R4" s="1045">
        <v>33061.865972076979</v>
      </c>
      <c r="S4" s="1045">
        <v>33061.865972076979</v>
      </c>
      <c r="T4" s="1045">
        <v>33061.865972076979</v>
      </c>
      <c r="U4" s="1045">
        <v>33061.865972076979</v>
      </c>
      <c r="V4" s="1045">
        <v>33061.865972076979</v>
      </c>
      <c r="W4" s="1045">
        <v>33061.865972076979</v>
      </c>
      <c r="X4" s="1045">
        <v>33061.865972076979</v>
      </c>
      <c r="Y4" s="1045">
        <v>33061.865972076979</v>
      </c>
      <c r="Z4" s="1045">
        <v>33061.865972076979</v>
      </c>
      <c r="AA4" s="1045">
        <v>33061.865972076979</v>
      </c>
      <c r="AB4" s="1045">
        <v>33061.865972076979</v>
      </c>
      <c r="AC4" s="1045">
        <v>33061.865972076979</v>
      </c>
      <c r="AD4" s="1045">
        <v>33061.865972076979</v>
      </c>
      <c r="AE4" s="1045">
        <v>33061.865972076979</v>
      </c>
      <c r="AF4" s="1045">
        <v>33061.865972076979</v>
      </c>
      <c r="AG4" s="1045">
        <v>33061.865972076979</v>
      </c>
      <c r="AH4" s="1045">
        <v>33061.865972076979</v>
      </c>
      <c r="AI4" s="1045">
        <v>33061.865972076979</v>
      </c>
      <c r="AJ4" s="1045">
        <v>33061.865972076979</v>
      </c>
    </row>
    <row r="5" spans="1:36" s="1051" customFormat="1">
      <c r="A5" s="1308"/>
      <c r="B5" s="1310"/>
      <c r="C5" s="1047"/>
      <c r="D5" s="1048" t="s">
        <v>543</v>
      </c>
      <c r="E5" s="1048"/>
      <c r="F5" s="1049">
        <v>2227078.7523773117</v>
      </c>
      <c r="G5" s="1045">
        <v>415602.55533382273</v>
      </c>
      <c r="H5" s="1045">
        <v>276066.08191973524</v>
      </c>
      <c r="I5" s="1045">
        <v>179425.64556351057</v>
      </c>
      <c r="J5" s="1045">
        <v>496375.95428624109</v>
      </c>
      <c r="K5" s="1045">
        <v>33061.865972076979</v>
      </c>
      <c r="L5" s="1045">
        <v>33061.865972076979</v>
      </c>
      <c r="M5" s="1045">
        <v>33061.865972076979</v>
      </c>
      <c r="N5" s="1045">
        <v>33061.865972076979</v>
      </c>
      <c r="O5" s="1045">
        <v>33061.865972076979</v>
      </c>
      <c r="P5" s="1045">
        <v>33061.865972076979</v>
      </c>
      <c r="Q5" s="1045">
        <v>33061.865972076979</v>
      </c>
      <c r="R5" s="1045">
        <v>33061.865972076979</v>
      </c>
      <c r="S5" s="1045">
        <v>33061.865972076979</v>
      </c>
      <c r="T5" s="1045">
        <v>33061.865972076979</v>
      </c>
      <c r="U5" s="1045">
        <v>33061.865972076979</v>
      </c>
      <c r="V5" s="1045">
        <v>33061.865972076979</v>
      </c>
      <c r="W5" s="1045">
        <v>33061.865972076979</v>
      </c>
      <c r="X5" s="1045">
        <v>33061.865972076979</v>
      </c>
      <c r="Y5" s="1045">
        <v>33061.865972076979</v>
      </c>
      <c r="Z5" s="1045">
        <v>33061.865972076979</v>
      </c>
      <c r="AA5" s="1045">
        <v>33061.865972076979</v>
      </c>
      <c r="AB5" s="1045">
        <v>33061.865972076979</v>
      </c>
      <c r="AC5" s="1045">
        <v>33061.865972076979</v>
      </c>
      <c r="AD5" s="1045">
        <v>33061.865972076979</v>
      </c>
      <c r="AE5" s="1045">
        <v>33061.865972076979</v>
      </c>
      <c r="AF5" s="1045">
        <v>33061.865972076979</v>
      </c>
      <c r="AG5" s="1045">
        <v>33061.865972076979</v>
      </c>
      <c r="AH5" s="1045">
        <v>33061.865972076979</v>
      </c>
      <c r="AI5" s="1045">
        <v>33061.865972076979</v>
      </c>
      <c r="AJ5" s="1045">
        <v>33061.865972076979</v>
      </c>
    </row>
    <row r="6" spans="1:36" s="1046" customFormat="1">
      <c r="A6" s="1309" t="s">
        <v>146</v>
      </c>
      <c r="B6" s="1311" t="s">
        <v>147</v>
      </c>
      <c r="C6" s="1052"/>
      <c r="D6" s="1053"/>
      <c r="E6" s="1054"/>
      <c r="F6" s="1055">
        <v>601353.6686383913</v>
      </c>
      <c r="G6" s="1045">
        <v>298647.82683240459</v>
      </c>
      <c r="H6" s="1045">
        <v>65491.021928009926</v>
      </c>
      <c r="I6" s="1045">
        <v>113111.25412275761</v>
      </c>
      <c r="J6" s="1045">
        <v>124103.5657552193</v>
      </c>
      <c r="K6" s="1045">
        <v>0</v>
      </c>
      <c r="L6" s="1045">
        <v>0</v>
      </c>
      <c r="M6" s="1045">
        <v>0</v>
      </c>
      <c r="N6" s="1045">
        <v>0</v>
      </c>
      <c r="O6" s="1045">
        <v>0</v>
      </c>
      <c r="P6" s="1045">
        <v>0</v>
      </c>
      <c r="Q6" s="1045">
        <v>0</v>
      </c>
      <c r="R6" s="1045">
        <v>0</v>
      </c>
      <c r="S6" s="1045">
        <v>0</v>
      </c>
      <c r="T6" s="1045">
        <v>0</v>
      </c>
      <c r="U6" s="1045">
        <v>0</v>
      </c>
      <c r="V6" s="1045">
        <v>0</v>
      </c>
      <c r="W6" s="1045">
        <v>0</v>
      </c>
      <c r="X6" s="1045">
        <v>0</v>
      </c>
      <c r="Y6" s="1045">
        <v>0</v>
      </c>
      <c r="Z6" s="1045">
        <v>0</v>
      </c>
      <c r="AA6" s="1045">
        <v>0</v>
      </c>
      <c r="AB6" s="1045">
        <v>0</v>
      </c>
      <c r="AC6" s="1045">
        <v>0</v>
      </c>
      <c r="AD6" s="1045">
        <v>0</v>
      </c>
      <c r="AE6" s="1045">
        <v>0</v>
      </c>
      <c r="AF6" s="1045">
        <v>0</v>
      </c>
      <c r="AG6" s="1045">
        <v>0</v>
      </c>
      <c r="AH6" s="1045">
        <v>0</v>
      </c>
      <c r="AI6" s="1045">
        <v>0</v>
      </c>
      <c r="AJ6" s="1045">
        <v>0</v>
      </c>
    </row>
    <row r="7" spans="1:36" s="1051" customFormat="1">
      <c r="A7" s="1310"/>
      <c r="B7" s="1312"/>
      <c r="C7" s="1056"/>
      <c r="D7" s="1057"/>
      <c r="E7" s="1058"/>
      <c r="F7" s="1059">
        <v>549332.3489450902</v>
      </c>
      <c r="G7" s="1045">
        <v>298647.82683240459</v>
      </c>
      <c r="H7" s="1045">
        <v>65491.021928009926</v>
      </c>
      <c r="I7" s="1045">
        <v>113111.25412275761</v>
      </c>
      <c r="J7" s="1045">
        <v>72082.246061918137</v>
      </c>
      <c r="K7" s="1045">
        <v>0</v>
      </c>
      <c r="L7" s="1045">
        <v>0</v>
      </c>
      <c r="M7" s="1045">
        <v>0</v>
      </c>
      <c r="N7" s="1045">
        <v>0</v>
      </c>
      <c r="O7" s="1045">
        <v>0</v>
      </c>
      <c r="P7" s="1045">
        <v>0</v>
      </c>
      <c r="Q7" s="1045">
        <v>0</v>
      </c>
      <c r="R7" s="1045">
        <v>0</v>
      </c>
      <c r="S7" s="1045">
        <v>0</v>
      </c>
      <c r="T7" s="1045">
        <v>0</v>
      </c>
      <c r="U7" s="1045">
        <v>0</v>
      </c>
      <c r="V7" s="1045">
        <v>0</v>
      </c>
      <c r="W7" s="1045">
        <v>0</v>
      </c>
      <c r="X7" s="1045">
        <v>0</v>
      </c>
      <c r="Y7" s="1045">
        <v>0</v>
      </c>
      <c r="Z7" s="1045">
        <v>0</v>
      </c>
      <c r="AA7" s="1045">
        <v>0</v>
      </c>
      <c r="AB7" s="1045">
        <v>0</v>
      </c>
      <c r="AC7" s="1045">
        <v>0</v>
      </c>
      <c r="AD7" s="1045">
        <v>0</v>
      </c>
      <c r="AE7" s="1045">
        <v>0</v>
      </c>
      <c r="AF7" s="1045">
        <v>0</v>
      </c>
      <c r="AG7" s="1045">
        <v>0</v>
      </c>
      <c r="AH7" s="1045">
        <v>0</v>
      </c>
      <c r="AI7" s="1045">
        <v>0</v>
      </c>
      <c r="AJ7" s="1045">
        <v>0</v>
      </c>
    </row>
    <row r="8" spans="1:36" s="1046" customFormat="1" ht="15" customHeight="1">
      <c r="A8" s="1060"/>
      <c r="B8" s="1313" t="s">
        <v>248</v>
      </c>
      <c r="C8" s="1305">
        <v>1</v>
      </c>
      <c r="D8" s="1301" t="s">
        <v>249</v>
      </c>
      <c r="E8" s="1061">
        <v>61319.977355847921</v>
      </c>
      <c r="F8" s="1062">
        <v>61319.977355847921</v>
      </c>
      <c r="G8" s="1045">
        <v>22893.407629661378</v>
      </c>
      <c r="H8" s="1045">
        <v>0</v>
      </c>
      <c r="I8" s="1045">
        <v>0</v>
      </c>
      <c r="J8" s="1132">
        <v>38426.569726186543</v>
      </c>
      <c r="K8" s="1045">
        <v>0</v>
      </c>
      <c r="L8" s="1045">
        <v>0</v>
      </c>
      <c r="M8" s="1045">
        <v>0</v>
      </c>
      <c r="N8" s="1045">
        <v>0</v>
      </c>
      <c r="O8" s="1045">
        <v>0</v>
      </c>
      <c r="P8" s="1045">
        <v>0</v>
      </c>
      <c r="Q8" s="1045">
        <v>0</v>
      </c>
      <c r="R8" s="1045">
        <v>0</v>
      </c>
      <c r="S8" s="1045">
        <v>0</v>
      </c>
      <c r="T8" s="1045">
        <v>0</v>
      </c>
      <c r="U8" s="1045">
        <v>0</v>
      </c>
      <c r="V8" s="1045">
        <v>0</v>
      </c>
      <c r="W8" s="1045">
        <v>0</v>
      </c>
      <c r="X8" s="1045">
        <v>0</v>
      </c>
      <c r="Y8" s="1045">
        <v>0</v>
      </c>
      <c r="Z8" s="1045">
        <v>0</v>
      </c>
      <c r="AA8" s="1045">
        <v>0</v>
      </c>
      <c r="AB8" s="1045">
        <v>0</v>
      </c>
      <c r="AC8" s="1045">
        <v>0</v>
      </c>
      <c r="AD8" s="1045">
        <v>0</v>
      </c>
      <c r="AE8" s="1045">
        <v>0</v>
      </c>
      <c r="AF8" s="1045">
        <v>0</v>
      </c>
      <c r="AG8" s="1045">
        <v>0</v>
      </c>
      <c r="AH8" s="1045">
        <v>0</v>
      </c>
      <c r="AI8" s="1045">
        <v>0</v>
      </c>
      <c r="AJ8" s="1045">
        <v>0</v>
      </c>
    </row>
    <row r="9" spans="1:36" s="1051" customFormat="1" ht="15" customHeight="1">
      <c r="A9" s="1060"/>
      <c r="B9" s="1314"/>
      <c r="C9" s="1306"/>
      <c r="D9" s="1302"/>
      <c r="E9" s="1063"/>
      <c r="F9" s="1064">
        <v>22893.407629661378</v>
      </c>
      <c r="G9" s="1045">
        <v>22893.407629661378</v>
      </c>
      <c r="H9" s="1045">
        <v>0</v>
      </c>
      <c r="I9" s="1045">
        <v>0</v>
      </c>
      <c r="J9" s="1045">
        <v>0</v>
      </c>
      <c r="K9" s="1045">
        <v>0</v>
      </c>
      <c r="L9" s="1045">
        <v>0</v>
      </c>
      <c r="M9" s="1045">
        <v>0</v>
      </c>
      <c r="N9" s="1045">
        <v>0</v>
      </c>
      <c r="O9" s="1045">
        <v>0</v>
      </c>
      <c r="P9" s="1045">
        <v>0</v>
      </c>
      <c r="Q9" s="1045">
        <v>0</v>
      </c>
      <c r="R9" s="1045">
        <v>0</v>
      </c>
      <c r="S9" s="1045">
        <v>0</v>
      </c>
      <c r="T9" s="1045">
        <v>0</v>
      </c>
      <c r="U9" s="1045">
        <v>0</v>
      </c>
      <c r="V9" s="1045">
        <v>0</v>
      </c>
      <c r="W9" s="1045">
        <v>0</v>
      </c>
      <c r="X9" s="1045">
        <v>0</v>
      </c>
      <c r="Y9" s="1045">
        <v>0</v>
      </c>
      <c r="Z9" s="1045">
        <v>0</v>
      </c>
      <c r="AA9" s="1045">
        <v>0</v>
      </c>
      <c r="AB9" s="1045">
        <v>0</v>
      </c>
      <c r="AC9" s="1045">
        <v>0</v>
      </c>
      <c r="AD9" s="1045">
        <v>0</v>
      </c>
      <c r="AE9" s="1045">
        <v>0</v>
      </c>
      <c r="AF9" s="1045">
        <v>0</v>
      </c>
      <c r="AG9" s="1045">
        <v>0</v>
      </c>
      <c r="AH9" s="1045">
        <v>0</v>
      </c>
      <c r="AI9" s="1045">
        <v>0</v>
      </c>
      <c r="AJ9" s="1045">
        <v>0</v>
      </c>
    </row>
    <row r="10" spans="1:36" s="1046" customFormat="1" ht="19.5" customHeight="1">
      <c r="A10" s="1060"/>
      <c r="B10" s="1303" t="s">
        <v>544</v>
      </c>
      <c r="C10" s="1305">
        <v>1</v>
      </c>
      <c r="D10" s="1301" t="s">
        <v>249</v>
      </c>
      <c r="E10" s="1061">
        <v>71539.973581822574</v>
      </c>
      <c r="F10" s="1062">
        <v>217998.1680197581</v>
      </c>
      <c r="G10" s="1045">
        <v>114824.40634376337</v>
      </c>
      <c r="H10" s="1045">
        <v>28287.95200661978</v>
      </c>
      <c r="I10" s="1045">
        <v>74885.809669374954</v>
      </c>
      <c r="J10" s="1045">
        <v>0</v>
      </c>
      <c r="K10" s="1045">
        <v>0</v>
      </c>
      <c r="L10" s="1045">
        <v>0</v>
      </c>
      <c r="M10" s="1045">
        <v>0</v>
      </c>
      <c r="N10" s="1045">
        <v>0</v>
      </c>
      <c r="O10" s="1045">
        <v>0</v>
      </c>
      <c r="P10" s="1045">
        <v>0</v>
      </c>
      <c r="Q10" s="1045">
        <v>0</v>
      </c>
      <c r="R10" s="1045">
        <v>0</v>
      </c>
      <c r="S10" s="1045">
        <v>0</v>
      </c>
      <c r="T10" s="1045">
        <v>0</v>
      </c>
      <c r="U10" s="1045">
        <v>0</v>
      </c>
      <c r="V10" s="1045">
        <v>0</v>
      </c>
      <c r="W10" s="1045">
        <v>0</v>
      </c>
      <c r="X10" s="1045">
        <v>0</v>
      </c>
      <c r="Y10" s="1045">
        <v>0</v>
      </c>
      <c r="Z10" s="1045">
        <v>0</v>
      </c>
      <c r="AA10" s="1045">
        <v>0</v>
      </c>
      <c r="AB10" s="1045">
        <v>0</v>
      </c>
      <c r="AC10" s="1045">
        <v>0</v>
      </c>
      <c r="AD10" s="1045">
        <v>0</v>
      </c>
      <c r="AE10" s="1045">
        <v>0</v>
      </c>
      <c r="AF10" s="1045">
        <v>0</v>
      </c>
      <c r="AG10" s="1045">
        <v>0</v>
      </c>
      <c r="AH10" s="1045">
        <v>0</v>
      </c>
      <c r="AI10" s="1045">
        <v>0</v>
      </c>
      <c r="AJ10" s="1045">
        <v>0</v>
      </c>
    </row>
    <row r="11" spans="1:36" s="1051" customFormat="1" ht="18" customHeight="1">
      <c r="A11" s="1060"/>
      <c r="B11" s="1304"/>
      <c r="C11" s="1306"/>
      <c r="D11" s="1302"/>
      <c r="E11" s="1063"/>
      <c r="F11" s="1064">
        <v>217998.1680197581</v>
      </c>
      <c r="G11" s="1045">
        <v>114824.40634376337</v>
      </c>
      <c r="H11" s="1045">
        <v>28287.95200661978</v>
      </c>
      <c r="I11" s="1045">
        <v>74885.809669374954</v>
      </c>
      <c r="J11" s="1045">
        <v>0</v>
      </c>
      <c r="K11" s="1045">
        <v>0</v>
      </c>
      <c r="L11" s="1045">
        <v>0</v>
      </c>
      <c r="M11" s="1045">
        <v>0</v>
      </c>
      <c r="N11" s="1045">
        <v>0</v>
      </c>
      <c r="O11" s="1045">
        <v>0</v>
      </c>
      <c r="P11" s="1045">
        <v>0</v>
      </c>
      <c r="Q11" s="1045">
        <v>0</v>
      </c>
      <c r="R11" s="1045">
        <v>0</v>
      </c>
      <c r="S11" s="1045">
        <v>0</v>
      </c>
      <c r="T11" s="1045">
        <v>0</v>
      </c>
      <c r="U11" s="1045">
        <v>0</v>
      </c>
      <c r="V11" s="1045">
        <v>0</v>
      </c>
      <c r="W11" s="1045">
        <v>0</v>
      </c>
      <c r="X11" s="1045">
        <v>0</v>
      </c>
      <c r="Y11" s="1045">
        <v>0</v>
      </c>
      <c r="Z11" s="1045">
        <v>0</v>
      </c>
      <c r="AA11" s="1045">
        <v>0</v>
      </c>
      <c r="AB11" s="1045">
        <v>0</v>
      </c>
      <c r="AC11" s="1045">
        <v>0</v>
      </c>
      <c r="AD11" s="1045">
        <v>0</v>
      </c>
      <c r="AE11" s="1045">
        <v>0</v>
      </c>
      <c r="AF11" s="1045">
        <v>0</v>
      </c>
      <c r="AG11" s="1045">
        <v>0</v>
      </c>
      <c r="AH11" s="1045">
        <v>0</v>
      </c>
      <c r="AI11" s="1045">
        <v>0</v>
      </c>
      <c r="AJ11" s="1045">
        <v>0</v>
      </c>
    </row>
    <row r="12" spans="1:36" s="1046" customFormat="1" ht="15" customHeight="1">
      <c r="A12" s="1060"/>
      <c r="B12" s="1303" t="s">
        <v>250</v>
      </c>
      <c r="C12" s="1305">
        <v>1</v>
      </c>
      <c r="D12" s="1301" t="s">
        <v>249</v>
      </c>
      <c r="E12" s="1061">
        <v>204399.92451949307</v>
      </c>
      <c r="F12" s="1062">
        <v>178181.47332223738</v>
      </c>
      <c r="G12" s="1045">
        <v>148427.65537933988</v>
      </c>
      <c r="H12" s="1045">
        <v>12251.187422424493</v>
      </c>
      <c r="I12" s="1045">
        <v>17502.630520473009</v>
      </c>
      <c r="J12" s="1045">
        <v>0</v>
      </c>
      <c r="K12" s="1045">
        <v>0</v>
      </c>
      <c r="L12" s="1045">
        <v>0</v>
      </c>
      <c r="M12" s="1045">
        <v>0</v>
      </c>
      <c r="N12" s="1045">
        <v>0</v>
      </c>
      <c r="O12" s="1045">
        <v>0</v>
      </c>
      <c r="P12" s="1045">
        <v>0</v>
      </c>
      <c r="Q12" s="1045">
        <v>0</v>
      </c>
      <c r="R12" s="1045">
        <v>0</v>
      </c>
      <c r="S12" s="1045">
        <v>0</v>
      </c>
      <c r="T12" s="1045">
        <v>0</v>
      </c>
      <c r="U12" s="1045">
        <v>0</v>
      </c>
      <c r="V12" s="1045">
        <v>0</v>
      </c>
      <c r="W12" s="1045">
        <v>0</v>
      </c>
      <c r="X12" s="1045">
        <v>0</v>
      </c>
      <c r="Y12" s="1045">
        <v>0</v>
      </c>
      <c r="Z12" s="1045">
        <v>0</v>
      </c>
      <c r="AA12" s="1045">
        <v>0</v>
      </c>
      <c r="AB12" s="1045">
        <v>0</v>
      </c>
      <c r="AC12" s="1045">
        <v>0</v>
      </c>
      <c r="AD12" s="1045">
        <v>0</v>
      </c>
      <c r="AE12" s="1045">
        <v>0</v>
      </c>
      <c r="AF12" s="1045">
        <v>0</v>
      </c>
      <c r="AG12" s="1045">
        <v>0</v>
      </c>
      <c r="AH12" s="1045">
        <v>0</v>
      </c>
      <c r="AI12" s="1045">
        <v>0</v>
      </c>
      <c r="AJ12" s="1045">
        <v>0</v>
      </c>
    </row>
    <row r="13" spans="1:36" s="1051" customFormat="1" ht="15" customHeight="1">
      <c r="A13" s="1060"/>
      <c r="B13" s="1304"/>
      <c r="C13" s="1306"/>
      <c r="D13" s="1302"/>
      <c r="E13" s="1063"/>
      <c r="F13" s="1064">
        <v>178181.47332223738</v>
      </c>
      <c r="G13" s="1045">
        <v>148427.65537933988</v>
      </c>
      <c r="H13" s="1045">
        <v>12251.187422424493</v>
      </c>
      <c r="I13" s="1045">
        <v>17502.630520473009</v>
      </c>
      <c r="J13" s="1045">
        <v>0</v>
      </c>
      <c r="K13" s="1045">
        <v>0</v>
      </c>
      <c r="L13" s="1045">
        <v>0</v>
      </c>
      <c r="M13" s="1045">
        <v>0</v>
      </c>
      <c r="N13" s="1045">
        <v>0</v>
      </c>
      <c r="O13" s="1045">
        <v>0</v>
      </c>
      <c r="P13" s="1045">
        <v>0</v>
      </c>
      <c r="Q13" s="1045">
        <v>0</v>
      </c>
      <c r="R13" s="1045">
        <v>0</v>
      </c>
      <c r="S13" s="1045">
        <v>0</v>
      </c>
      <c r="T13" s="1045">
        <v>0</v>
      </c>
      <c r="U13" s="1045">
        <v>0</v>
      </c>
      <c r="V13" s="1045">
        <v>0</v>
      </c>
      <c r="W13" s="1045">
        <v>0</v>
      </c>
      <c r="X13" s="1045">
        <v>0</v>
      </c>
      <c r="Y13" s="1045">
        <v>0</v>
      </c>
      <c r="Z13" s="1045">
        <v>0</v>
      </c>
      <c r="AA13" s="1045">
        <v>0</v>
      </c>
      <c r="AB13" s="1045">
        <v>0</v>
      </c>
      <c r="AC13" s="1045">
        <v>0</v>
      </c>
      <c r="AD13" s="1045">
        <v>0</v>
      </c>
      <c r="AE13" s="1045">
        <v>0</v>
      </c>
      <c r="AF13" s="1045">
        <v>0</v>
      </c>
      <c r="AG13" s="1045">
        <v>0</v>
      </c>
      <c r="AH13" s="1045">
        <v>0</v>
      </c>
      <c r="AI13" s="1045">
        <v>0</v>
      </c>
      <c r="AJ13" s="1045">
        <v>0</v>
      </c>
    </row>
    <row r="14" spans="1:36" s="1046" customFormat="1" ht="15" customHeight="1">
      <c r="A14" s="1060"/>
      <c r="B14" s="1303" t="s">
        <v>545</v>
      </c>
      <c r="C14" s="1305">
        <v>1</v>
      </c>
      <c r="D14" s="1301" t="s">
        <v>249</v>
      </c>
      <c r="E14" s="1061">
        <v>76649.971694809894</v>
      </c>
      <c r="F14" s="1062">
        <v>76649.971694809894</v>
      </c>
      <c r="G14" s="1045">
        <v>1594.5135019288468</v>
      </c>
      <c r="H14" s="1045">
        <v>0</v>
      </c>
      <c r="I14" s="1045">
        <v>2973.2121309629151</v>
      </c>
      <c r="J14" s="1045">
        <v>72082.246061918137</v>
      </c>
      <c r="K14" s="1045">
        <v>0</v>
      </c>
      <c r="L14" s="1045">
        <v>0</v>
      </c>
      <c r="M14" s="1045">
        <v>0</v>
      </c>
      <c r="N14" s="1045">
        <v>0</v>
      </c>
      <c r="O14" s="1045">
        <v>0</v>
      </c>
      <c r="P14" s="1045">
        <v>0</v>
      </c>
      <c r="Q14" s="1045">
        <v>0</v>
      </c>
      <c r="R14" s="1045">
        <v>0</v>
      </c>
      <c r="S14" s="1045">
        <v>0</v>
      </c>
      <c r="T14" s="1045">
        <v>0</v>
      </c>
      <c r="U14" s="1045">
        <v>0</v>
      </c>
      <c r="V14" s="1045">
        <v>0</v>
      </c>
      <c r="W14" s="1045">
        <v>0</v>
      </c>
      <c r="X14" s="1045">
        <v>0</v>
      </c>
      <c r="Y14" s="1045">
        <v>0</v>
      </c>
      <c r="Z14" s="1045">
        <v>0</v>
      </c>
      <c r="AA14" s="1045">
        <v>0</v>
      </c>
      <c r="AB14" s="1045">
        <v>0</v>
      </c>
      <c r="AC14" s="1045">
        <v>0</v>
      </c>
      <c r="AD14" s="1045">
        <v>0</v>
      </c>
      <c r="AE14" s="1045">
        <v>0</v>
      </c>
      <c r="AF14" s="1045">
        <v>0</v>
      </c>
      <c r="AG14" s="1045">
        <v>0</v>
      </c>
      <c r="AH14" s="1045">
        <v>0</v>
      </c>
      <c r="AI14" s="1045">
        <v>0</v>
      </c>
      <c r="AJ14" s="1045">
        <v>0</v>
      </c>
    </row>
    <row r="15" spans="1:36" s="1051" customFormat="1" ht="15" customHeight="1">
      <c r="A15" s="1060"/>
      <c r="B15" s="1304"/>
      <c r="C15" s="1306"/>
      <c r="D15" s="1302"/>
      <c r="E15" s="1063"/>
      <c r="F15" s="1064">
        <v>76649.971694809894</v>
      </c>
      <c r="G15" s="1045">
        <v>1594.5135019288468</v>
      </c>
      <c r="H15" s="1045">
        <v>0</v>
      </c>
      <c r="I15" s="1045">
        <v>2973.2121309629151</v>
      </c>
      <c r="J15" s="1045">
        <v>72082.246061918137</v>
      </c>
      <c r="K15" s="1045">
        <v>0</v>
      </c>
      <c r="L15" s="1045">
        <v>0</v>
      </c>
      <c r="M15" s="1045">
        <v>0</v>
      </c>
      <c r="N15" s="1045">
        <v>0</v>
      </c>
      <c r="O15" s="1045">
        <v>0</v>
      </c>
      <c r="P15" s="1045">
        <v>0</v>
      </c>
      <c r="Q15" s="1045">
        <v>0</v>
      </c>
      <c r="R15" s="1045">
        <v>0</v>
      </c>
      <c r="S15" s="1045">
        <v>0</v>
      </c>
      <c r="T15" s="1045">
        <v>0</v>
      </c>
      <c r="U15" s="1045">
        <v>0</v>
      </c>
      <c r="V15" s="1045">
        <v>0</v>
      </c>
      <c r="W15" s="1045">
        <v>0</v>
      </c>
      <c r="X15" s="1045">
        <v>0</v>
      </c>
      <c r="Y15" s="1045">
        <v>0</v>
      </c>
      <c r="Z15" s="1045">
        <v>0</v>
      </c>
      <c r="AA15" s="1045">
        <v>0</v>
      </c>
      <c r="AB15" s="1045">
        <v>0</v>
      </c>
      <c r="AC15" s="1045">
        <v>0</v>
      </c>
      <c r="AD15" s="1045">
        <v>0</v>
      </c>
      <c r="AE15" s="1045">
        <v>0</v>
      </c>
      <c r="AF15" s="1045">
        <v>0</v>
      </c>
      <c r="AG15" s="1045">
        <v>0</v>
      </c>
      <c r="AH15" s="1045">
        <v>0</v>
      </c>
      <c r="AI15" s="1045">
        <v>0</v>
      </c>
      <c r="AJ15" s="1045">
        <v>0</v>
      </c>
    </row>
    <row r="16" spans="1:36" s="1046" customFormat="1" ht="15" customHeight="1">
      <c r="A16" s="1060"/>
      <c r="B16" s="1303" t="s">
        <v>546</v>
      </c>
      <c r="C16" s="1305">
        <v>2</v>
      </c>
      <c r="D16" s="1301" t="s">
        <v>142</v>
      </c>
      <c r="E16" s="1061">
        <v>7664.9971694809901</v>
      </c>
      <c r="F16" s="1062">
        <v>52896.083529373616</v>
      </c>
      <c r="G16" s="1045">
        <v>10194.599228461208</v>
      </c>
      <c r="H16" s="1045">
        <v>24951.88249896566</v>
      </c>
      <c r="I16" s="1045">
        <v>17749.601801946745</v>
      </c>
      <c r="J16" s="1045">
        <v>0</v>
      </c>
      <c r="K16" s="1045">
        <v>0</v>
      </c>
      <c r="L16" s="1045">
        <v>0</v>
      </c>
      <c r="M16" s="1045">
        <v>0</v>
      </c>
      <c r="N16" s="1045">
        <v>0</v>
      </c>
      <c r="O16" s="1045">
        <v>0</v>
      </c>
      <c r="P16" s="1045">
        <v>0</v>
      </c>
      <c r="Q16" s="1045">
        <v>0</v>
      </c>
      <c r="R16" s="1045">
        <v>0</v>
      </c>
      <c r="S16" s="1045">
        <v>0</v>
      </c>
      <c r="T16" s="1045">
        <v>0</v>
      </c>
      <c r="U16" s="1045">
        <v>0</v>
      </c>
      <c r="V16" s="1045">
        <v>0</v>
      </c>
      <c r="W16" s="1045">
        <v>0</v>
      </c>
      <c r="X16" s="1045">
        <v>0</v>
      </c>
      <c r="Y16" s="1045">
        <v>0</v>
      </c>
      <c r="Z16" s="1045">
        <v>0</v>
      </c>
      <c r="AA16" s="1045">
        <v>0</v>
      </c>
      <c r="AB16" s="1045">
        <v>0</v>
      </c>
      <c r="AC16" s="1045">
        <v>0</v>
      </c>
      <c r="AD16" s="1045">
        <v>0</v>
      </c>
      <c r="AE16" s="1045">
        <v>0</v>
      </c>
      <c r="AF16" s="1045">
        <v>0</v>
      </c>
      <c r="AG16" s="1045">
        <v>0</v>
      </c>
      <c r="AH16" s="1045">
        <v>0</v>
      </c>
      <c r="AI16" s="1045">
        <v>0</v>
      </c>
      <c r="AJ16" s="1045">
        <v>0</v>
      </c>
    </row>
    <row r="17" spans="1:36" s="1051" customFormat="1" ht="15" customHeight="1">
      <c r="A17" s="1060"/>
      <c r="B17" s="1304"/>
      <c r="C17" s="1306"/>
      <c r="D17" s="1302"/>
      <c r="E17" s="1063"/>
      <c r="F17" s="1064">
        <v>52896.083529373616</v>
      </c>
      <c r="G17" s="1045">
        <v>10194.599228461208</v>
      </c>
      <c r="H17" s="1045">
        <v>24951.88249896566</v>
      </c>
      <c r="I17" s="1045">
        <v>17749.601801946745</v>
      </c>
      <c r="J17" s="1045">
        <v>0</v>
      </c>
      <c r="K17" s="1045">
        <v>0</v>
      </c>
      <c r="L17" s="1045">
        <v>0</v>
      </c>
      <c r="M17" s="1045">
        <v>0</v>
      </c>
      <c r="N17" s="1045">
        <v>0</v>
      </c>
      <c r="O17" s="1045">
        <v>0</v>
      </c>
      <c r="P17" s="1045">
        <v>0</v>
      </c>
      <c r="Q17" s="1045">
        <v>0</v>
      </c>
      <c r="R17" s="1045">
        <v>0</v>
      </c>
      <c r="S17" s="1045">
        <v>0</v>
      </c>
      <c r="T17" s="1045">
        <v>0</v>
      </c>
      <c r="U17" s="1045">
        <v>0</v>
      </c>
      <c r="V17" s="1045">
        <v>0</v>
      </c>
      <c r="W17" s="1045">
        <v>0</v>
      </c>
      <c r="X17" s="1045">
        <v>0</v>
      </c>
      <c r="Y17" s="1045">
        <v>0</v>
      </c>
      <c r="Z17" s="1045">
        <v>0</v>
      </c>
      <c r="AA17" s="1045">
        <v>0</v>
      </c>
      <c r="AB17" s="1045">
        <v>0</v>
      </c>
      <c r="AC17" s="1045">
        <v>0</v>
      </c>
      <c r="AD17" s="1045">
        <v>0</v>
      </c>
      <c r="AE17" s="1045">
        <v>0</v>
      </c>
      <c r="AF17" s="1045">
        <v>0</v>
      </c>
      <c r="AG17" s="1045">
        <v>0</v>
      </c>
      <c r="AH17" s="1045">
        <v>0</v>
      </c>
      <c r="AI17" s="1045">
        <v>0</v>
      </c>
      <c r="AJ17" s="1045">
        <v>0</v>
      </c>
    </row>
    <row r="18" spans="1:36" s="1046" customFormat="1" ht="15" customHeight="1">
      <c r="A18" s="1060"/>
      <c r="B18" s="1303" t="s">
        <v>547</v>
      </c>
      <c r="C18" s="1305">
        <v>2</v>
      </c>
      <c r="D18" s="1301" t="s">
        <v>142</v>
      </c>
      <c r="E18" s="1061">
        <v>4087.9984903898617</v>
      </c>
      <c r="F18" s="1062">
        <v>8175.9969807797233</v>
      </c>
      <c r="G18" s="1045">
        <v>713.24474924989283</v>
      </c>
      <c r="H18" s="1045">
        <v>0</v>
      </c>
      <c r="I18" s="1045">
        <v>0</v>
      </c>
      <c r="J18" s="1132">
        <v>7462.7522315298302</v>
      </c>
      <c r="K18" s="1045">
        <v>0</v>
      </c>
      <c r="L18" s="1045">
        <v>0</v>
      </c>
      <c r="M18" s="1045">
        <v>0</v>
      </c>
      <c r="N18" s="1045">
        <v>0</v>
      </c>
      <c r="O18" s="1045">
        <v>0</v>
      </c>
      <c r="P18" s="1045">
        <v>0</v>
      </c>
      <c r="Q18" s="1045">
        <v>0</v>
      </c>
      <c r="R18" s="1045">
        <v>0</v>
      </c>
      <c r="S18" s="1045">
        <v>0</v>
      </c>
      <c r="T18" s="1045">
        <v>0</v>
      </c>
      <c r="U18" s="1045">
        <v>0</v>
      </c>
      <c r="V18" s="1045">
        <v>0</v>
      </c>
      <c r="W18" s="1045">
        <v>0</v>
      </c>
      <c r="X18" s="1045">
        <v>0</v>
      </c>
      <c r="Y18" s="1045">
        <v>0</v>
      </c>
      <c r="Z18" s="1045">
        <v>0</v>
      </c>
      <c r="AA18" s="1045">
        <v>0</v>
      </c>
      <c r="AB18" s="1045">
        <v>0</v>
      </c>
      <c r="AC18" s="1045">
        <v>0</v>
      </c>
      <c r="AD18" s="1045">
        <v>0</v>
      </c>
      <c r="AE18" s="1045">
        <v>0</v>
      </c>
      <c r="AF18" s="1045">
        <v>0</v>
      </c>
      <c r="AG18" s="1045">
        <v>0</v>
      </c>
      <c r="AH18" s="1045">
        <v>0</v>
      </c>
      <c r="AI18" s="1045">
        <v>0</v>
      </c>
      <c r="AJ18" s="1045">
        <v>0</v>
      </c>
    </row>
    <row r="19" spans="1:36" s="1051" customFormat="1" ht="15" customHeight="1">
      <c r="A19" s="1060"/>
      <c r="B19" s="1304"/>
      <c r="C19" s="1306"/>
      <c r="D19" s="1302"/>
      <c r="E19" s="1063"/>
      <c r="F19" s="1064">
        <v>713.24474924989283</v>
      </c>
      <c r="G19" s="1045">
        <v>713.24474924989283</v>
      </c>
      <c r="H19" s="1045">
        <v>0</v>
      </c>
      <c r="I19" s="1045">
        <v>0</v>
      </c>
      <c r="J19" s="1045">
        <v>0</v>
      </c>
      <c r="K19" s="1045">
        <v>0</v>
      </c>
      <c r="L19" s="1045">
        <v>0</v>
      </c>
      <c r="M19" s="1045">
        <v>0</v>
      </c>
      <c r="N19" s="1045">
        <v>0</v>
      </c>
      <c r="O19" s="1045">
        <v>0</v>
      </c>
      <c r="P19" s="1045">
        <v>0</v>
      </c>
      <c r="Q19" s="1045">
        <v>0</v>
      </c>
      <c r="R19" s="1045">
        <v>0</v>
      </c>
      <c r="S19" s="1045">
        <v>0</v>
      </c>
      <c r="T19" s="1045">
        <v>0</v>
      </c>
      <c r="U19" s="1045">
        <v>0</v>
      </c>
      <c r="V19" s="1045">
        <v>0</v>
      </c>
      <c r="W19" s="1045">
        <v>0</v>
      </c>
      <c r="X19" s="1045">
        <v>0</v>
      </c>
      <c r="Y19" s="1045">
        <v>0</v>
      </c>
      <c r="Z19" s="1045">
        <v>0</v>
      </c>
      <c r="AA19" s="1045">
        <v>0</v>
      </c>
      <c r="AB19" s="1045">
        <v>0</v>
      </c>
      <c r="AC19" s="1045">
        <v>0</v>
      </c>
      <c r="AD19" s="1045">
        <v>0</v>
      </c>
      <c r="AE19" s="1045">
        <v>0</v>
      </c>
      <c r="AF19" s="1045">
        <v>0</v>
      </c>
      <c r="AG19" s="1045">
        <v>0</v>
      </c>
      <c r="AH19" s="1045">
        <v>0</v>
      </c>
      <c r="AI19" s="1045">
        <v>0</v>
      </c>
      <c r="AJ19" s="1045">
        <v>0</v>
      </c>
    </row>
    <row r="20" spans="1:36" s="1046" customFormat="1" ht="15" customHeight="1">
      <c r="A20" s="1060"/>
      <c r="B20" s="1303" t="s">
        <v>548</v>
      </c>
      <c r="C20" s="1305">
        <v>3</v>
      </c>
      <c r="D20" s="1301" t="s">
        <v>142</v>
      </c>
      <c r="E20" s="1061">
        <v>2043.9992451949308</v>
      </c>
      <c r="F20" s="1062">
        <v>6131.9977355847923</v>
      </c>
      <c r="G20" s="1045">
        <v>0</v>
      </c>
      <c r="H20" s="1045">
        <v>0</v>
      </c>
      <c r="I20" s="1045">
        <v>0</v>
      </c>
      <c r="J20" s="1132">
        <v>6131.9977355847923</v>
      </c>
      <c r="K20" s="1045">
        <v>0</v>
      </c>
      <c r="L20" s="1045">
        <v>0</v>
      </c>
      <c r="M20" s="1045">
        <v>0</v>
      </c>
      <c r="N20" s="1045">
        <v>0</v>
      </c>
      <c r="O20" s="1045">
        <v>0</v>
      </c>
      <c r="P20" s="1045">
        <v>0</v>
      </c>
      <c r="Q20" s="1045">
        <v>0</v>
      </c>
      <c r="R20" s="1045">
        <v>0</v>
      </c>
      <c r="S20" s="1045">
        <v>0</v>
      </c>
      <c r="T20" s="1045">
        <v>0</v>
      </c>
      <c r="U20" s="1045">
        <v>0</v>
      </c>
      <c r="V20" s="1045">
        <v>0</v>
      </c>
      <c r="W20" s="1045">
        <v>0</v>
      </c>
      <c r="X20" s="1045">
        <v>0</v>
      </c>
      <c r="Y20" s="1045">
        <v>0</v>
      </c>
      <c r="Z20" s="1045">
        <v>0</v>
      </c>
      <c r="AA20" s="1045">
        <v>0</v>
      </c>
      <c r="AB20" s="1045">
        <v>0</v>
      </c>
      <c r="AC20" s="1045">
        <v>0</v>
      </c>
      <c r="AD20" s="1045">
        <v>0</v>
      </c>
      <c r="AE20" s="1045">
        <v>0</v>
      </c>
      <c r="AF20" s="1045">
        <v>0</v>
      </c>
      <c r="AG20" s="1045">
        <v>0</v>
      </c>
      <c r="AH20" s="1045">
        <v>0</v>
      </c>
      <c r="AI20" s="1045">
        <v>0</v>
      </c>
      <c r="AJ20" s="1045">
        <v>0</v>
      </c>
    </row>
    <row r="21" spans="1:36" s="1051" customFormat="1" ht="15" customHeight="1">
      <c r="A21" s="1060"/>
      <c r="B21" s="1304"/>
      <c r="C21" s="1306"/>
      <c r="D21" s="1302"/>
      <c r="E21" s="1063"/>
      <c r="F21" s="1064">
        <v>0</v>
      </c>
      <c r="G21" s="1045">
        <v>0</v>
      </c>
      <c r="H21" s="1045">
        <v>0</v>
      </c>
      <c r="I21" s="1045">
        <v>0</v>
      </c>
      <c r="J21" s="1045">
        <v>0</v>
      </c>
      <c r="K21" s="1045">
        <v>0</v>
      </c>
      <c r="L21" s="1045">
        <v>0</v>
      </c>
      <c r="M21" s="1045">
        <v>0</v>
      </c>
      <c r="N21" s="1045">
        <v>0</v>
      </c>
      <c r="O21" s="1045">
        <v>0</v>
      </c>
      <c r="P21" s="1045">
        <v>0</v>
      </c>
      <c r="Q21" s="1045">
        <v>0</v>
      </c>
      <c r="R21" s="1045">
        <v>0</v>
      </c>
      <c r="S21" s="1045">
        <v>0</v>
      </c>
      <c r="T21" s="1045">
        <v>0</v>
      </c>
      <c r="U21" s="1045">
        <v>0</v>
      </c>
      <c r="V21" s="1045">
        <v>0</v>
      </c>
      <c r="W21" s="1045">
        <v>0</v>
      </c>
      <c r="X21" s="1045">
        <v>0</v>
      </c>
      <c r="Y21" s="1045">
        <v>0</v>
      </c>
      <c r="Z21" s="1045">
        <v>0</v>
      </c>
      <c r="AA21" s="1045">
        <v>0</v>
      </c>
      <c r="AB21" s="1045">
        <v>0</v>
      </c>
      <c r="AC21" s="1045">
        <v>0</v>
      </c>
      <c r="AD21" s="1045">
        <v>0</v>
      </c>
      <c r="AE21" s="1045">
        <v>0</v>
      </c>
      <c r="AF21" s="1045">
        <v>0</v>
      </c>
      <c r="AG21" s="1045">
        <v>0</v>
      </c>
      <c r="AH21" s="1045">
        <v>0</v>
      </c>
      <c r="AI21" s="1045">
        <v>0</v>
      </c>
      <c r="AJ21" s="1045">
        <v>0</v>
      </c>
    </row>
    <row r="22" spans="1:36" hidden="1">
      <c r="D22" s="275"/>
      <c r="E22" s="508"/>
      <c r="F22" s="508"/>
      <c r="G22" s="1045"/>
      <c r="H22" s="1045"/>
      <c r="I22" s="1045"/>
      <c r="J22" s="1045"/>
      <c r="K22" s="1045"/>
      <c r="L22" s="1045"/>
      <c r="M22" s="1045"/>
      <c r="N22" s="1045"/>
      <c r="O22" s="1045"/>
      <c r="P22" s="1045"/>
      <c r="Q22" s="1045"/>
      <c r="R22" s="1045"/>
      <c r="S22" s="1045"/>
      <c r="T22" s="1045"/>
      <c r="U22" s="1045"/>
      <c r="V22" s="1045"/>
      <c r="W22" s="1045"/>
      <c r="X22" s="1045"/>
      <c r="Y22" s="1045"/>
      <c r="Z22" s="1045"/>
      <c r="AA22" s="1045"/>
      <c r="AB22" s="1045"/>
      <c r="AC22" s="1045"/>
      <c r="AD22" s="1045"/>
      <c r="AE22" s="1045"/>
      <c r="AF22" s="1045"/>
      <c r="AG22" s="1045"/>
      <c r="AH22" s="1045"/>
      <c r="AI22" s="1045"/>
      <c r="AJ22" s="1045"/>
    </row>
    <row r="23" spans="1:36" s="1046" customFormat="1" hidden="1">
      <c r="A23" s="1309" t="s">
        <v>148</v>
      </c>
      <c r="B23" s="1311" t="s">
        <v>149</v>
      </c>
      <c r="C23" s="1052"/>
      <c r="D23" s="1065"/>
      <c r="E23" s="1066"/>
      <c r="F23" s="1066">
        <v>0</v>
      </c>
      <c r="G23" s="1045">
        <v>0</v>
      </c>
      <c r="H23" s="1045">
        <v>0</v>
      </c>
      <c r="I23" s="1045">
        <v>0</v>
      </c>
      <c r="J23" s="1045">
        <v>0</v>
      </c>
      <c r="K23" s="1045">
        <v>0</v>
      </c>
      <c r="L23" s="1045">
        <v>0</v>
      </c>
      <c r="M23" s="1045">
        <v>0</v>
      </c>
      <c r="N23" s="1045">
        <v>0</v>
      </c>
      <c r="O23" s="1045">
        <v>0</v>
      </c>
      <c r="P23" s="1045">
        <v>0</v>
      </c>
      <c r="Q23" s="1045">
        <v>0</v>
      </c>
      <c r="R23" s="1045">
        <v>0</v>
      </c>
      <c r="S23" s="1045">
        <v>0</v>
      </c>
      <c r="T23" s="1045">
        <v>0</v>
      </c>
      <c r="U23" s="1045">
        <v>0</v>
      </c>
      <c r="V23" s="1045">
        <v>0</v>
      </c>
      <c r="W23" s="1045">
        <v>0</v>
      </c>
      <c r="X23" s="1045">
        <v>0</v>
      </c>
      <c r="Y23" s="1045">
        <v>0</v>
      </c>
      <c r="Z23" s="1045">
        <v>0</v>
      </c>
      <c r="AA23" s="1045">
        <v>0</v>
      </c>
      <c r="AB23" s="1045">
        <v>0</v>
      </c>
      <c r="AC23" s="1045">
        <v>0</v>
      </c>
      <c r="AD23" s="1045">
        <v>0</v>
      </c>
      <c r="AE23" s="1045">
        <v>0</v>
      </c>
      <c r="AF23" s="1045">
        <v>0</v>
      </c>
      <c r="AG23" s="1045">
        <v>0</v>
      </c>
      <c r="AH23" s="1045">
        <v>0</v>
      </c>
      <c r="AI23" s="1045">
        <v>0</v>
      </c>
      <c r="AJ23" s="1045">
        <v>0</v>
      </c>
    </row>
    <row r="24" spans="1:36" s="1051" customFormat="1" hidden="1">
      <c r="A24" s="1310"/>
      <c r="B24" s="1312"/>
      <c r="C24" s="1056"/>
      <c r="D24" s="1067"/>
      <c r="E24" s="1068"/>
      <c r="F24" s="1049">
        <v>0</v>
      </c>
      <c r="G24" s="1045">
        <v>0</v>
      </c>
      <c r="H24" s="1045">
        <v>0</v>
      </c>
      <c r="I24" s="1045">
        <v>0</v>
      </c>
      <c r="J24" s="1045">
        <v>0</v>
      </c>
      <c r="K24" s="1045">
        <v>0</v>
      </c>
      <c r="L24" s="1045">
        <v>0</v>
      </c>
      <c r="M24" s="1045">
        <v>0</v>
      </c>
      <c r="N24" s="1045">
        <v>0</v>
      </c>
      <c r="O24" s="1045">
        <v>0</v>
      </c>
      <c r="P24" s="1045">
        <v>0</v>
      </c>
      <c r="Q24" s="1045">
        <v>0</v>
      </c>
      <c r="R24" s="1045">
        <v>0</v>
      </c>
      <c r="S24" s="1045">
        <v>0</v>
      </c>
      <c r="T24" s="1045">
        <v>0</v>
      </c>
      <c r="U24" s="1045">
        <v>0</v>
      </c>
      <c r="V24" s="1045">
        <v>0</v>
      </c>
      <c r="W24" s="1045">
        <v>0</v>
      </c>
      <c r="X24" s="1045">
        <v>0</v>
      </c>
      <c r="Y24" s="1045">
        <v>0</v>
      </c>
      <c r="Z24" s="1045">
        <v>0</v>
      </c>
      <c r="AA24" s="1045">
        <v>0</v>
      </c>
      <c r="AB24" s="1045">
        <v>0</v>
      </c>
      <c r="AC24" s="1045">
        <v>0</v>
      </c>
      <c r="AD24" s="1045">
        <v>0</v>
      </c>
      <c r="AE24" s="1045">
        <v>0</v>
      </c>
      <c r="AF24" s="1045">
        <v>0</v>
      </c>
      <c r="AG24" s="1045">
        <v>0</v>
      </c>
      <c r="AH24" s="1045">
        <v>0</v>
      </c>
      <c r="AI24" s="1045">
        <v>0</v>
      </c>
      <c r="AJ24" s="1045">
        <v>0</v>
      </c>
    </row>
    <row r="25" spans="1:36" s="1046" customFormat="1" hidden="1">
      <c r="A25" s="1060"/>
      <c r="B25" s="1043"/>
      <c r="C25" s="1069"/>
      <c r="D25" s="1070"/>
      <c r="E25" s="1061"/>
      <c r="F25" s="1061"/>
      <c r="G25" s="1045">
        <v>0</v>
      </c>
      <c r="H25" s="1045">
        <v>0</v>
      </c>
      <c r="I25" s="1045">
        <v>0</v>
      </c>
      <c r="J25" s="1045">
        <v>0</v>
      </c>
      <c r="K25" s="1045">
        <v>0</v>
      </c>
      <c r="L25" s="1045">
        <v>0</v>
      </c>
      <c r="M25" s="1045">
        <v>0</v>
      </c>
      <c r="N25" s="1045">
        <v>0</v>
      </c>
      <c r="O25" s="1045">
        <v>0</v>
      </c>
      <c r="P25" s="1045">
        <v>0</v>
      </c>
      <c r="Q25" s="1045">
        <v>0</v>
      </c>
      <c r="R25" s="1045">
        <v>0</v>
      </c>
      <c r="S25" s="1045">
        <v>0</v>
      </c>
      <c r="T25" s="1045">
        <v>0</v>
      </c>
      <c r="U25" s="1045">
        <v>0</v>
      </c>
      <c r="V25" s="1045">
        <v>0</v>
      </c>
      <c r="W25" s="1045">
        <v>0</v>
      </c>
      <c r="X25" s="1045">
        <v>0</v>
      </c>
      <c r="Y25" s="1045">
        <v>0</v>
      </c>
      <c r="Z25" s="1045">
        <v>0</v>
      </c>
      <c r="AA25" s="1045">
        <v>0</v>
      </c>
      <c r="AB25" s="1045">
        <v>0</v>
      </c>
      <c r="AC25" s="1045">
        <v>0</v>
      </c>
      <c r="AD25" s="1045">
        <v>0</v>
      </c>
      <c r="AE25" s="1045">
        <v>0</v>
      </c>
      <c r="AF25" s="1045">
        <v>0</v>
      </c>
      <c r="AG25" s="1045">
        <v>0</v>
      </c>
      <c r="AH25" s="1045">
        <v>0</v>
      </c>
      <c r="AI25" s="1045">
        <v>0</v>
      </c>
      <c r="AJ25" s="1045">
        <v>0</v>
      </c>
    </row>
    <row r="26" spans="1:36" s="1051" customFormat="1" hidden="1">
      <c r="A26" s="1060"/>
      <c r="B26" s="1048"/>
      <c r="C26" s="1071"/>
      <c r="D26" s="1072"/>
      <c r="E26" s="1063"/>
      <c r="F26" s="1063"/>
      <c r="G26" s="1045"/>
      <c r="H26" s="1045"/>
      <c r="I26" s="1045"/>
      <c r="J26" s="1045"/>
      <c r="K26" s="1045"/>
      <c r="L26" s="1045"/>
      <c r="M26" s="1045"/>
      <c r="N26" s="1045"/>
      <c r="O26" s="1045"/>
      <c r="P26" s="1045"/>
      <c r="Q26" s="1045"/>
      <c r="R26" s="1045"/>
      <c r="S26" s="1045"/>
      <c r="T26" s="1045"/>
      <c r="U26" s="1045"/>
      <c r="V26" s="1045"/>
      <c r="W26" s="1045"/>
      <c r="X26" s="1045"/>
      <c r="Y26" s="1045"/>
      <c r="Z26" s="1045"/>
      <c r="AA26" s="1045"/>
      <c r="AB26" s="1045"/>
      <c r="AC26" s="1045"/>
      <c r="AD26" s="1045"/>
      <c r="AE26" s="1045"/>
      <c r="AF26" s="1045"/>
      <c r="AG26" s="1045"/>
      <c r="AH26" s="1045"/>
      <c r="AI26" s="1045"/>
      <c r="AJ26" s="1045"/>
    </row>
    <row r="27" spans="1:36" hidden="1">
      <c r="D27" s="275"/>
      <c r="E27" s="508"/>
      <c r="F27" s="508"/>
      <c r="G27" s="1045"/>
      <c r="H27" s="1045"/>
      <c r="I27" s="1045"/>
      <c r="J27" s="1045"/>
      <c r="K27" s="1045"/>
      <c r="L27" s="1045"/>
      <c r="M27" s="1045"/>
      <c r="N27" s="1045"/>
      <c r="O27" s="1045"/>
      <c r="P27" s="1045"/>
      <c r="Q27" s="1045"/>
      <c r="R27" s="1045"/>
      <c r="S27" s="1045"/>
      <c r="T27" s="1045"/>
      <c r="U27" s="1045"/>
      <c r="V27" s="1045"/>
      <c r="W27" s="1045"/>
      <c r="X27" s="1045"/>
      <c r="Y27" s="1045"/>
      <c r="Z27" s="1045"/>
      <c r="AA27" s="1045"/>
      <c r="AB27" s="1045"/>
      <c r="AC27" s="1045"/>
      <c r="AD27" s="1045"/>
      <c r="AE27" s="1045"/>
      <c r="AF27" s="1045"/>
      <c r="AG27" s="1045"/>
      <c r="AH27" s="1045"/>
      <c r="AI27" s="1045"/>
      <c r="AJ27" s="1045"/>
    </row>
    <row r="28" spans="1:36" s="1046" customFormat="1">
      <c r="A28" s="1309" t="s">
        <v>150</v>
      </c>
      <c r="B28" s="1311" t="s">
        <v>151</v>
      </c>
      <c r="C28" s="1052"/>
      <c r="D28" s="1065"/>
      <c r="E28" s="1066"/>
      <c r="F28" s="1066">
        <v>1023595.1090792598</v>
      </c>
      <c r="G28" s="1045">
        <v>0</v>
      </c>
      <c r="H28" s="1045">
        <v>195290.85643359539</v>
      </c>
      <c r="I28" s="1045">
        <v>0</v>
      </c>
      <c r="J28" s="1045">
        <v>828304.25264566438</v>
      </c>
      <c r="K28" s="1045">
        <v>0</v>
      </c>
      <c r="L28" s="1045">
        <v>0</v>
      </c>
      <c r="M28" s="1045">
        <v>0</v>
      </c>
      <c r="N28" s="1045">
        <v>0</v>
      </c>
      <c r="O28" s="1045">
        <v>0</v>
      </c>
      <c r="P28" s="1045">
        <v>0</v>
      </c>
      <c r="Q28" s="1045">
        <v>0</v>
      </c>
      <c r="R28" s="1045">
        <v>0</v>
      </c>
      <c r="S28" s="1045">
        <v>0</v>
      </c>
      <c r="T28" s="1045">
        <v>0</v>
      </c>
      <c r="U28" s="1045">
        <v>0</v>
      </c>
      <c r="V28" s="1045">
        <v>0</v>
      </c>
      <c r="W28" s="1045">
        <v>0</v>
      </c>
      <c r="X28" s="1045">
        <v>0</v>
      </c>
      <c r="Y28" s="1045">
        <v>0</v>
      </c>
      <c r="Z28" s="1045">
        <v>0</v>
      </c>
      <c r="AA28" s="1045">
        <v>0</v>
      </c>
      <c r="AB28" s="1045">
        <v>0</v>
      </c>
      <c r="AC28" s="1045">
        <v>0</v>
      </c>
      <c r="AD28" s="1045">
        <v>0</v>
      </c>
      <c r="AE28" s="1045">
        <v>0</v>
      </c>
      <c r="AF28" s="1045">
        <v>0</v>
      </c>
      <c r="AG28" s="1045">
        <v>0</v>
      </c>
      <c r="AH28" s="1045">
        <v>0</v>
      </c>
      <c r="AI28" s="1045">
        <v>0</v>
      </c>
      <c r="AJ28" s="1045">
        <v>0</v>
      </c>
    </row>
    <row r="29" spans="1:36" s="1051" customFormat="1">
      <c r="A29" s="1310"/>
      <c r="B29" s="1312"/>
      <c r="C29" s="1056"/>
      <c r="D29" s="1067"/>
      <c r="E29" s="1068"/>
      <c r="F29" s="1073">
        <v>586522.6986858414</v>
      </c>
      <c r="G29" s="1045">
        <v>0</v>
      </c>
      <c r="H29" s="1045">
        <v>195290.85643359539</v>
      </c>
      <c r="I29" s="1045">
        <v>0</v>
      </c>
      <c r="J29" s="1045">
        <v>391231.84225224599</v>
      </c>
      <c r="K29" s="1045">
        <v>0</v>
      </c>
      <c r="L29" s="1045">
        <v>0</v>
      </c>
      <c r="M29" s="1045">
        <v>0</v>
      </c>
      <c r="N29" s="1045">
        <v>0</v>
      </c>
      <c r="O29" s="1045">
        <v>0</v>
      </c>
      <c r="P29" s="1045">
        <v>0</v>
      </c>
      <c r="Q29" s="1045">
        <v>0</v>
      </c>
      <c r="R29" s="1045">
        <v>0</v>
      </c>
      <c r="S29" s="1045">
        <v>0</v>
      </c>
      <c r="T29" s="1045">
        <v>0</v>
      </c>
      <c r="U29" s="1045">
        <v>0</v>
      </c>
      <c r="V29" s="1045">
        <v>0</v>
      </c>
      <c r="W29" s="1045">
        <v>0</v>
      </c>
      <c r="X29" s="1045">
        <v>0</v>
      </c>
      <c r="Y29" s="1045">
        <v>0</v>
      </c>
      <c r="Z29" s="1045">
        <v>0</v>
      </c>
      <c r="AA29" s="1045">
        <v>0</v>
      </c>
      <c r="AB29" s="1045">
        <v>0</v>
      </c>
      <c r="AC29" s="1045">
        <v>0</v>
      </c>
      <c r="AD29" s="1045">
        <v>0</v>
      </c>
      <c r="AE29" s="1045">
        <v>0</v>
      </c>
      <c r="AF29" s="1045">
        <v>0</v>
      </c>
      <c r="AG29" s="1045">
        <v>0</v>
      </c>
      <c r="AH29" s="1045">
        <v>0</v>
      </c>
      <c r="AI29" s="1045">
        <v>0</v>
      </c>
      <c r="AJ29" s="1045">
        <v>0</v>
      </c>
    </row>
    <row r="30" spans="1:36" s="1046" customFormat="1" ht="13.5" customHeight="1">
      <c r="A30" s="1060"/>
      <c r="B30" s="1315" t="s">
        <v>549</v>
      </c>
      <c r="C30" s="1305">
        <v>7</v>
      </c>
      <c r="D30" s="1301" t="s">
        <v>142</v>
      </c>
      <c r="E30" s="1061">
        <v>4087.9984903898612</v>
      </c>
      <c r="F30" s="1062">
        <v>28615.989432729028</v>
      </c>
      <c r="G30" s="1045">
        <v>0</v>
      </c>
      <c r="H30" s="1045">
        <v>0</v>
      </c>
      <c r="I30" s="1045">
        <v>0</v>
      </c>
      <c r="J30" s="1045">
        <v>28615.989432729028</v>
      </c>
      <c r="K30" s="1045">
        <v>0</v>
      </c>
      <c r="L30" s="1045">
        <v>0</v>
      </c>
      <c r="M30" s="1045">
        <v>0</v>
      </c>
      <c r="N30" s="1045">
        <v>0</v>
      </c>
      <c r="O30" s="1045">
        <v>0</v>
      </c>
      <c r="P30" s="1045">
        <v>0</v>
      </c>
      <c r="Q30" s="1045">
        <v>0</v>
      </c>
      <c r="R30" s="1045">
        <v>0</v>
      </c>
      <c r="S30" s="1045">
        <v>0</v>
      </c>
      <c r="T30" s="1045">
        <v>0</v>
      </c>
      <c r="U30" s="1045">
        <v>0</v>
      </c>
      <c r="V30" s="1045">
        <v>0</v>
      </c>
      <c r="W30" s="1045">
        <v>0</v>
      </c>
      <c r="X30" s="1045">
        <v>0</v>
      </c>
      <c r="Y30" s="1045">
        <v>0</v>
      </c>
      <c r="Z30" s="1045">
        <v>0</v>
      </c>
      <c r="AA30" s="1045">
        <v>0</v>
      </c>
      <c r="AB30" s="1045">
        <v>0</v>
      </c>
      <c r="AC30" s="1045">
        <v>0</v>
      </c>
      <c r="AD30" s="1045">
        <v>0</v>
      </c>
      <c r="AE30" s="1045">
        <v>0</v>
      </c>
      <c r="AF30" s="1045">
        <v>0</v>
      </c>
      <c r="AG30" s="1045">
        <v>0</v>
      </c>
      <c r="AH30" s="1045">
        <v>0</v>
      </c>
      <c r="AI30" s="1045">
        <v>0</v>
      </c>
      <c r="AJ30" s="1045">
        <v>0</v>
      </c>
    </row>
    <row r="31" spans="1:36" s="1051" customFormat="1" ht="13.5" customHeight="1">
      <c r="A31" s="1060"/>
      <c r="B31" s="1316"/>
      <c r="C31" s="1306"/>
      <c r="D31" s="1302"/>
      <c r="E31" s="1063"/>
      <c r="F31" s="1064">
        <v>28615.989432729028</v>
      </c>
      <c r="G31" s="1045">
        <v>0</v>
      </c>
      <c r="H31" s="1045">
        <v>0</v>
      </c>
      <c r="I31" s="1045">
        <v>0</v>
      </c>
      <c r="J31" s="1045">
        <v>28615.989432729028</v>
      </c>
      <c r="K31" s="1045">
        <v>0</v>
      </c>
      <c r="L31" s="1045">
        <v>0</v>
      </c>
      <c r="M31" s="1045">
        <v>0</v>
      </c>
      <c r="N31" s="1045">
        <v>0</v>
      </c>
      <c r="O31" s="1045">
        <v>0</v>
      </c>
      <c r="P31" s="1045">
        <v>0</v>
      </c>
      <c r="Q31" s="1045">
        <v>0</v>
      </c>
      <c r="R31" s="1045">
        <v>0</v>
      </c>
      <c r="S31" s="1045">
        <v>0</v>
      </c>
      <c r="T31" s="1045">
        <v>0</v>
      </c>
      <c r="U31" s="1045">
        <v>0</v>
      </c>
      <c r="V31" s="1045">
        <v>0</v>
      </c>
      <c r="W31" s="1045">
        <v>0</v>
      </c>
      <c r="X31" s="1045">
        <v>0</v>
      </c>
      <c r="Y31" s="1045">
        <v>0</v>
      </c>
      <c r="Z31" s="1045">
        <v>0</v>
      </c>
      <c r="AA31" s="1045">
        <v>0</v>
      </c>
      <c r="AB31" s="1045">
        <v>0</v>
      </c>
      <c r="AC31" s="1045">
        <v>0</v>
      </c>
      <c r="AD31" s="1045">
        <v>0</v>
      </c>
      <c r="AE31" s="1045">
        <v>0</v>
      </c>
      <c r="AF31" s="1045">
        <v>0</v>
      </c>
      <c r="AG31" s="1045">
        <v>0</v>
      </c>
      <c r="AH31" s="1045">
        <v>0</v>
      </c>
      <c r="AI31" s="1045">
        <v>0</v>
      </c>
      <c r="AJ31" s="1045">
        <v>0</v>
      </c>
    </row>
    <row r="32" spans="1:36" s="1046" customFormat="1" ht="13.5" customHeight="1">
      <c r="A32" s="1060"/>
      <c r="B32" s="1315" t="s">
        <v>550</v>
      </c>
      <c r="C32" s="1305">
        <v>1</v>
      </c>
      <c r="D32" s="1301" t="s">
        <v>249</v>
      </c>
      <c r="E32" s="1061">
        <v>153299.94338961979</v>
      </c>
      <c r="F32" s="1062">
        <v>994979.11964653071</v>
      </c>
      <c r="G32" s="1045">
        <v>0</v>
      </c>
      <c r="H32" s="1045">
        <v>195290.85643359539</v>
      </c>
      <c r="I32" s="1045">
        <v>0</v>
      </c>
      <c r="J32" s="1045">
        <v>799688.2632129353</v>
      </c>
      <c r="K32" s="1045">
        <v>0</v>
      </c>
      <c r="L32" s="1045">
        <v>0</v>
      </c>
      <c r="M32" s="1045">
        <v>0</v>
      </c>
      <c r="N32" s="1045">
        <v>0</v>
      </c>
      <c r="O32" s="1045">
        <v>0</v>
      </c>
      <c r="P32" s="1045">
        <v>0</v>
      </c>
      <c r="Q32" s="1045">
        <v>0</v>
      </c>
      <c r="R32" s="1045">
        <v>0</v>
      </c>
      <c r="S32" s="1045">
        <v>0</v>
      </c>
      <c r="T32" s="1045">
        <v>0</v>
      </c>
      <c r="U32" s="1045">
        <v>0</v>
      </c>
      <c r="V32" s="1045">
        <v>0</v>
      </c>
      <c r="W32" s="1045">
        <v>0</v>
      </c>
      <c r="X32" s="1045">
        <v>0</v>
      </c>
      <c r="Y32" s="1045">
        <v>0</v>
      </c>
      <c r="Z32" s="1045">
        <v>0</v>
      </c>
      <c r="AA32" s="1045">
        <v>0</v>
      </c>
      <c r="AB32" s="1045">
        <v>0</v>
      </c>
      <c r="AC32" s="1045">
        <v>0</v>
      </c>
      <c r="AD32" s="1045">
        <v>0</v>
      </c>
      <c r="AE32" s="1045">
        <v>0</v>
      </c>
      <c r="AF32" s="1045">
        <v>0</v>
      </c>
      <c r="AG32" s="1045">
        <v>0</v>
      </c>
      <c r="AH32" s="1045">
        <v>0</v>
      </c>
      <c r="AI32" s="1045">
        <v>0</v>
      </c>
      <c r="AJ32" s="1045">
        <v>0</v>
      </c>
    </row>
    <row r="33" spans="1:36" s="1051" customFormat="1" ht="13.5" customHeight="1">
      <c r="A33" s="1048"/>
      <c r="B33" s="1316"/>
      <c r="C33" s="1306"/>
      <c r="D33" s="1302"/>
      <c r="E33" s="1063"/>
      <c r="F33" s="1064">
        <v>557906.70925311232</v>
      </c>
      <c r="G33" s="1045">
        <v>0</v>
      </c>
      <c r="H33" s="1045">
        <v>195290.85643359539</v>
      </c>
      <c r="I33" s="1045">
        <v>0</v>
      </c>
      <c r="J33" s="1132">
        <v>362615.85281951696</v>
      </c>
      <c r="K33" s="1045">
        <v>0</v>
      </c>
      <c r="L33" s="1045">
        <v>0</v>
      </c>
      <c r="M33" s="1045">
        <v>0</v>
      </c>
      <c r="N33" s="1045">
        <v>0</v>
      </c>
      <c r="O33" s="1045">
        <v>0</v>
      </c>
      <c r="P33" s="1045">
        <v>0</v>
      </c>
      <c r="Q33" s="1045">
        <v>0</v>
      </c>
      <c r="R33" s="1045">
        <v>0</v>
      </c>
      <c r="S33" s="1045">
        <v>0</v>
      </c>
      <c r="T33" s="1045">
        <v>0</v>
      </c>
      <c r="U33" s="1045">
        <v>0</v>
      </c>
      <c r="V33" s="1045">
        <v>0</v>
      </c>
      <c r="W33" s="1045">
        <v>0</v>
      </c>
      <c r="X33" s="1045">
        <v>0</v>
      </c>
      <c r="Y33" s="1045">
        <v>0</v>
      </c>
      <c r="Z33" s="1045">
        <v>0</v>
      </c>
      <c r="AA33" s="1045">
        <v>0</v>
      </c>
      <c r="AB33" s="1045">
        <v>0</v>
      </c>
      <c r="AC33" s="1045">
        <v>0</v>
      </c>
      <c r="AD33" s="1045">
        <v>0</v>
      </c>
      <c r="AE33" s="1045">
        <v>0</v>
      </c>
      <c r="AF33" s="1045">
        <v>0</v>
      </c>
      <c r="AG33" s="1045">
        <v>0</v>
      </c>
      <c r="AH33" s="1045">
        <v>0</v>
      </c>
      <c r="AI33" s="1045">
        <v>0</v>
      </c>
      <c r="AJ33" s="1045">
        <v>0</v>
      </c>
    </row>
    <row r="34" spans="1:36">
      <c r="D34" s="275"/>
      <c r="E34" s="508"/>
      <c r="F34" s="508"/>
      <c r="G34" s="1045"/>
      <c r="H34" s="1045"/>
      <c r="I34" s="1045"/>
      <c r="J34" s="1045"/>
      <c r="K34" s="1045"/>
      <c r="L34" s="1045"/>
      <c r="M34" s="1045"/>
      <c r="N34" s="1045"/>
      <c r="O34" s="1045"/>
      <c r="P34" s="1045"/>
      <c r="Q34" s="1045"/>
      <c r="R34" s="1045"/>
      <c r="S34" s="1045"/>
      <c r="T34" s="1045"/>
      <c r="U34" s="1045"/>
      <c r="V34" s="1045"/>
      <c r="W34" s="1045"/>
      <c r="X34" s="1045"/>
      <c r="Y34" s="1045"/>
      <c r="Z34" s="1045"/>
      <c r="AA34" s="1045"/>
      <c r="AB34" s="1045"/>
      <c r="AC34" s="1045"/>
      <c r="AD34" s="1045"/>
      <c r="AE34" s="1045"/>
      <c r="AF34" s="1045"/>
      <c r="AG34" s="1045"/>
      <c r="AH34" s="1045"/>
      <c r="AI34" s="1045"/>
      <c r="AJ34" s="1045"/>
    </row>
    <row r="35" spans="1:36" s="1046" customFormat="1">
      <c r="A35" s="1309" t="s">
        <v>152</v>
      </c>
      <c r="B35" s="1311" t="s">
        <v>153</v>
      </c>
      <c r="C35" s="1052"/>
      <c r="D35" s="1065"/>
      <c r="E35" s="1066"/>
      <c r="F35" s="1066">
        <v>1091223.70474638</v>
      </c>
      <c r="G35" s="1045">
        <v>117009.49849978567</v>
      </c>
      <c r="H35" s="1045">
        <v>15284.203558129915</v>
      </c>
      <c r="I35" s="1045">
        <v>66314.391440752952</v>
      </c>
      <c r="J35" s="1045">
        <v>33061.865972076979</v>
      </c>
      <c r="K35" s="1045">
        <v>33061.865972076979</v>
      </c>
      <c r="L35" s="1045">
        <v>33061.865972076979</v>
      </c>
      <c r="M35" s="1045">
        <v>33061.865972076979</v>
      </c>
      <c r="N35" s="1045">
        <v>33061.865972076979</v>
      </c>
      <c r="O35" s="1045">
        <v>33061.865972076979</v>
      </c>
      <c r="P35" s="1045">
        <v>33061.865972076979</v>
      </c>
      <c r="Q35" s="1045">
        <v>33061.865972076979</v>
      </c>
      <c r="R35" s="1045">
        <v>33061.865972076979</v>
      </c>
      <c r="S35" s="1045">
        <v>33061.865972076979</v>
      </c>
      <c r="T35" s="1045">
        <v>33061.865972076979</v>
      </c>
      <c r="U35" s="1045">
        <v>33061.865972076979</v>
      </c>
      <c r="V35" s="1045">
        <v>33061.865972076979</v>
      </c>
      <c r="W35" s="1045">
        <v>33061.865972076979</v>
      </c>
      <c r="X35" s="1045">
        <v>33061.865972076979</v>
      </c>
      <c r="Y35" s="1045">
        <v>33061.865972076979</v>
      </c>
      <c r="Z35" s="1045">
        <v>33061.865972076979</v>
      </c>
      <c r="AA35" s="1045">
        <v>33061.865972076979</v>
      </c>
      <c r="AB35" s="1045">
        <v>33061.865972076979</v>
      </c>
      <c r="AC35" s="1045">
        <v>33061.865972076979</v>
      </c>
      <c r="AD35" s="1045">
        <v>33061.865972076979</v>
      </c>
      <c r="AE35" s="1045">
        <v>33061.865972076979</v>
      </c>
      <c r="AF35" s="1045">
        <v>33061.865972076979</v>
      </c>
      <c r="AG35" s="1045">
        <v>33061.865972076979</v>
      </c>
      <c r="AH35" s="1045">
        <v>33061.865972076979</v>
      </c>
      <c r="AI35" s="1045">
        <v>33061.865972076979</v>
      </c>
      <c r="AJ35" s="1045">
        <v>33061.865972076979</v>
      </c>
    </row>
    <row r="36" spans="1:36" s="1051" customFormat="1">
      <c r="A36" s="1310"/>
      <c r="B36" s="1312"/>
      <c r="C36" s="1056"/>
      <c r="D36" s="1067"/>
      <c r="E36" s="1068"/>
      <c r="F36" s="1049">
        <v>1091223.70474638</v>
      </c>
      <c r="G36" s="1045">
        <v>116954.72850141811</v>
      </c>
      <c r="H36" s="1045">
        <v>15284.203558129915</v>
      </c>
      <c r="I36" s="1045">
        <v>66314.391440752952</v>
      </c>
      <c r="J36" s="1045">
        <v>33061.865972076979</v>
      </c>
      <c r="K36" s="1045">
        <v>33061.865972076979</v>
      </c>
      <c r="L36" s="1045">
        <v>33061.865972076979</v>
      </c>
      <c r="M36" s="1045">
        <v>33061.865972076979</v>
      </c>
      <c r="N36" s="1045">
        <v>33061.865972076979</v>
      </c>
      <c r="O36" s="1045">
        <v>33061.865972076979</v>
      </c>
      <c r="P36" s="1045">
        <v>33061.865972076979</v>
      </c>
      <c r="Q36" s="1045">
        <v>33061.865972076979</v>
      </c>
      <c r="R36" s="1045">
        <v>33061.865972076979</v>
      </c>
      <c r="S36" s="1045">
        <v>33061.865972076979</v>
      </c>
      <c r="T36" s="1045">
        <v>33061.865972076979</v>
      </c>
      <c r="U36" s="1045">
        <v>33061.865972076979</v>
      </c>
      <c r="V36" s="1045">
        <v>33061.865972076979</v>
      </c>
      <c r="W36" s="1045">
        <v>33061.865972076979</v>
      </c>
      <c r="X36" s="1045">
        <v>33061.865972076979</v>
      </c>
      <c r="Y36" s="1045">
        <v>33061.865972076979</v>
      </c>
      <c r="Z36" s="1045">
        <v>33061.865972076979</v>
      </c>
      <c r="AA36" s="1045">
        <v>33061.865972076979</v>
      </c>
      <c r="AB36" s="1045">
        <v>33061.865972076979</v>
      </c>
      <c r="AC36" s="1045">
        <v>33061.865972076979</v>
      </c>
      <c r="AD36" s="1045">
        <v>33061.865972076979</v>
      </c>
      <c r="AE36" s="1045">
        <v>33061.865972076979</v>
      </c>
      <c r="AF36" s="1045">
        <v>33061.865972076979</v>
      </c>
      <c r="AG36" s="1045">
        <v>33061.865972076979</v>
      </c>
      <c r="AH36" s="1045">
        <v>33061.865972076979</v>
      </c>
      <c r="AI36" s="1045">
        <v>33061.865972076979</v>
      </c>
      <c r="AJ36" s="1045">
        <v>33061.865972076979</v>
      </c>
    </row>
    <row r="37" spans="1:36" s="1046" customFormat="1" ht="14.25" customHeight="1">
      <c r="A37" s="1060"/>
      <c r="B37" s="1315" t="s">
        <v>251</v>
      </c>
      <c r="C37" s="1305">
        <v>1</v>
      </c>
      <c r="D37" s="1301" t="s">
        <v>249</v>
      </c>
      <c r="E37" s="1061">
        <v>124683.95395689078</v>
      </c>
      <c r="F37" s="1062">
        <v>131411.84610779874</v>
      </c>
      <c r="G37" s="1045">
        <v>91059.039862837541</v>
      </c>
      <c r="H37" s="1045">
        <v>15284.203558129915</v>
      </c>
      <c r="I37" s="1045">
        <v>25068.602686831306</v>
      </c>
      <c r="J37" s="1045">
        <v>0</v>
      </c>
      <c r="K37" s="1045">
        <v>0</v>
      </c>
      <c r="L37" s="1045">
        <v>0</v>
      </c>
      <c r="M37" s="1045">
        <v>0</v>
      </c>
      <c r="N37" s="1045">
        <v>0</v>
      </c>
      <c r="O37" s="1045">
        <v>0</v>
      </c>
      <c r="P37" s="1045">
        <v>0</v>
      </c>
      <c r="Q37" s="1045">
        <v>0</v>
      </c>
      <c r="R37" s="1045">
        <v>0</v>
      </c>
      <c r="S37" s="1045">
        <v>0</v>
      </c>
      <c r="T37" s="1045">
        <v>0</v>
      </c>
      <c r="U37" s="1045">
        <v>0</v>
      </c>
      <c r="V37" s="1045">
        <v>0</v>
      </c>
      <c r="W37" s="1045">
        <v>0</v>
      </c>
      <c r="X37" s="1045">
        <v>0</v>
      </c>
      <c r="Y37" s="1045">
        <v>0</v>
      </c>
      <c r="Z37" s="1045">
        <v>0</v>
      </c>
      <c r="AA37" s="1045">
        <v>0</v>
      </c>
      <c r="AB37" s="1045">
        <v>0</v>
      </c>
      <c r="AC37" s="1045">
        <v>0</v>
      </c>
      <c r="AD37" s="1045">
        <v>0</v>
      </c>
      <c r="AE37" s="1045">
        <v>0</v>
      </c>
      <c r="AF37" s="1045">
        <v>0</v>
      </c>
      <c r="AG37" s="1045">
        <v>0</v>
      </c>
      <c r="AH37" s="1045">
        <v>0</v>
      </c>
      <c r="AI37" s="1045">
        <v>0</v>
      </c>
      <c r="AJ37" s="1045">
        <v>0</v>
      </c>
    </row>
    <row r="38" spans="1:36" s="1051" customFormat="1" ht="14.25" customHeight="1">
      <c r="A38" s="1060"/>
      <c r="B38" s="1316"/>
      <c r="C38" s="1306"/>
      <c r="D38" s="1302"/>
      <c r="E38" s="1063"/>
      <c r="F38" s="1064">
        <v>131411.84610779874</v>
      </c>
      <c r="G38" s="1045">
        <v>91059.039862837541</v>
      </c>
      <c r="H38" s="1045">
        <v>15284.203558129915</v>
      </c>
      <c r="I38" s="1045">
        <v>25068.602686831306</v>
      </c>
      <c r="J38" s="1045">
        <v>0</v>
      </c>
      <c r="K38" s="1045">
        <v>0</v>
      </c>
      <c r="L38" s="1045">
        <v>0</v>
      </c>
      <c r="M38" s="1045">
        <v>0</v>
      </c>
      <c r="N38" s="1045">
        <v>0</v>
      </c>
      <c r="O38" s="1045">
        <v>0</v>
      </c>
      <c r="P38" s="1045">
        <v>0</v>
      </c>
      <c r="Q38" s="1045">
        <v>0</v>
      </c>
      <c r="R38" s="1045">
        <v>0</v>
      </c>
      <c r="S38" s="1045">
        <v>0</v>
      </c>
      <c r="T38" s="1045">
        <v>0</v>
      </c>
      <c r="U38" s="1045">
        <v>0</v>
      </c>
      <c r="V38" s="1045">
        <v>0</v>
      </c>
      <c r="W38" s="1045">
        <v>0</v>
      </c>
      <c r="X38" s="1045">
        <v>0</v>
      </c>
      <c r="Y38" s="1045">
        <v>0</v>
      </c>
      <c r="Z38" s="1045">
        <v>0</v>
      </c>
      <c r="AA38" s="1045">
        <v>0</v>
      </c>
      <c r="AB38" s="1045">
        <v>0</v>
      </c>
      <c r="AC38" s="1045">
        <v>0</v>
      </c>
      <c r="AD38" s="1045">
        <v>0</v>
      </c>
      <c r="AE38" s="1045">
        <v>0</v>
      </c>
      <c r="AF38" s="1045">
        <v>0</v>
      </c>
      <c r="AG38" s="1045">
        <v>0</v>
      </c>
      <c r="AH38" s="1045">
        <v>0</v>
      </c>
      <c r="AI38" s="1045">
        <v>0</v>
      </c>
      <c r="AJ38" s="1045">
        <v>0</v>
      </c>
    </row>
    <row r="39" spans="1:36" s="1046" customFormat="1" ht="14.25" customHeight="1">
      <c r="A39" s="1060"/>
      <c r="B39" s="1315" t="s">
        <v>252</v>
      </c>
      <c r="C39" s="1305">
        <v>231</v>
      </c>
      <c r="D39" s="1301" t="s">
        <v>142</v>
      </c>
      <c r="E39" s="1061">
        <v>112.10254821896351</v>
      </c>
      <c r="F39" s="1062">
        <v>25895.68863858057</v>
      </c>
      <c r="G39" s="1045">
        <v>25895.68863858057</v>
      </c>
      <c r="H39" s="1045">
        <v>0</v>
      </c>
      <c r="I39" s="1045">
        <v>0</v>
      </c>
      <c r="J39" s="1045">
        <v>0</v>
      </c>
      <c r="K39" s="1045">
        <v>0</v>
      </c>
      <c r="L39" s="1045">
        <v>0</v>
      </c>
      <c r="M39" s="1045">
        <v>0</v>
      </c>
      <c r="N39" s="1045">
        <v>0</v>
      </c>
      <c r="O39" s="1045">
        <v>0</v>
      </c>
      <c r="P39" s="1045">
        <v>0</v>
      </c>
      <c r="Q39" s="1045">
        <v>0</v>
      </c>
      <c r="R39" s="1045">
        <v>0</v>
      </c>
      <c r="S39" s="1045">
        <v>0</v>
      </c>
      <c r="T39" s="1045">
        <v>0</v>
      </c>
      <c r="U39" s="1045">
        <v>0</v>
      </c>
      <c r="V39" s="1045">
        <v>0</v>
      </c>
      <c r="W39" s="1045">
        <v>0</v>
      </c>
      <c r="X39" s="1045">
        <v>0</v>
      </c>
      <c r="Y39" s="1045">
        <v>0</v>
      </c>
      <c r="Z39" s="1045">
        <v>0</v>
      </c>
      <c r="AA39" s="1045">
        <v>0</v>
      </c>
      <c r="AB39" s="1045">
        <v>0</v>
      </c>
      <c r="AC39" s="1045">
        <v>0</v>
      </c>
      <c r="AD39" s="1045">
        <v>0</v>
      </c>
      <c r="AE39" s="1045">
        <v>0</v>
      </c>
      <c r="AF39" s="1045">
        <v>0</v>
      </c>
      <c r="AG39" s="1045">
        <v>0</v>
      </c>
      <c r="AH39" s="1045">
        <v>0</v>
      </c>
      <c r="AI39" s="1045">
        <v>0</v>
      </c>
      <c r="AJ39" s="1045">
        <v>0</v>
      </c>
    </row>
    <row r="40" spans="1:36" s="1051" customFormat="1" ht="14.25" customHeight="1">
      <c r="A40" s="1060"/>
      <c r="B40" s="1316"/>
      <c r="C40" s="1306"/>
      <c r="D40" s="1302"/>
      <c r="E40" s="1063"/>
      <c r="F40" s="1064">
        <v>25895.68863858057</v>
      </c>
      <c r="G40" s="1045">
        <v>25895.68863858057</v>
      </c>
      <c r="H40" s="1045">
        <v>0</v>
      </c>
      <c r="I40" s="1045">
        <v>0</v>
      </c>
      <c r="J40" s="1045">
        <v>0</v>
      </c>
      <c r="K40" s="1045">
        <v>0</v>
      </c>
      <c r="L40" s="1045">
        <v>0</v>
      </c>
      <c r="M40" s="1045">
        <v>0</v>
      </c>
      <c r="N40" s="1045">
        <v>0</v>
      </c>
      <c r="O40" s="1045">
        <v>0</v>
      </c>
      <c r="P40" s="1045">
        <v>0</v>
      </c>
      <c r="Q40" s="1045">
        <v>0</v>
      </c>
      <c r="R40" s="1045">
        <v>0</v>
      </c>
      <c r="S40" s="1045">
        <v>0</v>
      </c>
      <c r="T40" s="1045">
        <v>0</v>
      </c>
      <c r="U40" s="1045">
        <v>0</v>
      </c>
      <c r="V40" s="1045">
        <v>0</v>
      </c>
      <c r="W40" s="1045">
        <v>0</v>
      </c>
      <c r="X40" s="1045">
        <v>0</v>
      </c>
      <c r="Y40" s="1045">
        <v>0</v>
      </c>
      <c r="Z40" s="1045">
        <v>0</v>
      </c>
      <c r="AA40" s="1045">
        <v>0</v>
      </c>
      <c r="AB40" s="1045">
        <v>0</v>
      </c>
      <c r="AC40" s="1045">
        <v>0</v>
      </c>
      <c r="AD40" s="1045">
        <v>0</v>
      </c>
      <c r="AE40" s="1045">
        <v>0</v>
      </c>
      <c r="AF40" s="1045">
        <v>0</v>
      </c>
      <c r="AG40" s="1045">
        <v>0</v>
      </c>
      <c r="AH40" s="1045">
        <v>0</v>
      </c>
      <c r="AI40" s="1045">
        <v>0</v>
      </c>
      <c r="AJ40" s="1045">
        <v>0</v>
      </c>
    </row>
    <row r="41" spans="1:36" s="1046" customFormat="1" ht="14.25" customHeight="1">
      <c r="A41" s="1060"/>
      <c r="B41" s="1315" t="s">
        <v>253</v>
      </c>
      <c r="C41" s="1305">
        <v>1</v>
      </c>
      <c r="D41" s="1301" t="s">
        <v>249</v>
      </c>
      <c r="E41" s="1061">
        <v>933916.17157888901</v>
      </c>
      <c r="F41" s="1062">
        <v>933916.17000000062</v>
      </c>
      <c r="G41" s="1045">
        <v>0</v>
      </c>
      <c r="H41" s="1045">
        <v>0</v>
      </c>
      <c r="I41" s="1045">
        <v>41245.788753921646</v>
      </c>
      <c r="J41" s="1045">
        <v>33061.865972076979</v>
      </c>
      <c r="K41" s="1045">
        <v>33061.865972076979</v>
      </c>
      <c r="L41" s="1045">
        <v>33061.865972076979</v>
      </c>
      <c r="M41" s="1045">
        <v>33061.865972076979</v>
      </c>
      <c r="N41" s="1045">
        <v>33061.865972076979</v>
      </c>
      <c r="O41" s="1045">
        <v>33061.865972076979</v>
      </c>
      <c r="P41" s="1045">
        <v>33061.865972076979</v>
      </c>
      <c r="Q41" s="1045">
        <v>33061.865972076979</v>
      </c>
      <c r="R41" s="1045">
        <v>33061.865972076979</v>
      </c>
      <c r="S41" s="1045">
        <v>33061.865972076979</v>
      </c>
      <c r="T41" s="1045">
        <v>33061.865972076979</v>
      </c>
      <c r="U41" s="1045">
        <v>33061.865972076979</v>
      </c>
      <c r="V41" s="1045">
        <v>33061.865972076979</v>
      </c>
      <c r="W41" s="1045">
        <v>33061.865972076979</v>
      </c>
      <c r="X41" s="1045">
        <v>33061.865972076979</v>
      </c>
      <c r="Y41" s="1045">
        <v>33061.865972076979</v>
      </c>
      <c r="Z41" s="1045">
        <v>33061.865972076979</v>
      </c>
      <c r="AA41" s="1045">
        <v>33061.865972076979</v>
      </c>
      <c r="AB41" s="1045">
        <v>33061.865972076979</v>
      </c>
      <c r="AC41" s="1045">
        <v>33061.865972076979</v>
      </c>
      <c r="AD41" s="1045">
        <v>33061.865972076979</v>
      </c>
      <c r="AE41" s="1045">
        <v>33061.865972076979</v>
      </c>
      <c r="AF41" s="1045">
        <v>33061.865972076979</v>
      </c>
      <c r="AG41" s="1045">
        <v>33061.865972076979</v>
      </c>
      <c r="AH41" s="1045">
        <v>33061.865972076979</v>
      </c>
      <c r="AI41" s="1045">
        <v>33061.865972076979</v>
      </c>
      <c r="AJ41" s="1045">
        <v>33061.865972076979</v>
      </c>
    </row>
    <row r="42" spans="1:36" s="1051" customFormat="1" ht="14.25" customHeight="1">
      <c r="A42" s="1060"/>
      <c r="B42" s="1316"/>
      <c r="C42" s="1306"/>
      <c r="D42" s="1302"/>
      <c r="E42" s="1063"/>
      <c r="F42" s="1064">
        <v>933916.17000000062</v>
      </c>
      <c r="G42" s="1045">
        <v>0</v>
      </c>
      <c r="H42" s="1045">
        <v>0</v>
      </c>
      <c r="I42" s="1045">
        <v>41245.788753921646</v>
      </c>
      <c r="J42" s="1045">
        <v>33061.865972076979</v>
      </c>
      <c r="K42" s="1045">
        <v>33061.865972076979</v>
      </c>
      <c r="L42" s="1045">
        <v>33061.865972076979</v>
      </c>
      <c r="M42" s="1045">
        <v>33061.865972076979</v>
      </c>
      <c r="N42" s="1045">
        <v>33061.865972076979</v>
      </c>
      <c r="O42" s="1045">
        <v>33061.865972076979</v>
      </c>
      <c r="P42" s="1045">
        <v>33061.865972076979</v>
      </c>
      <c r="Q42" s="1045">
        <v>33061.865972076979</v>
      </c>
      <c r="R42" s="1045">
        <v>33061.865972076979</v>
      </c>
      <c r="S42" s="1045">
        <v>33061.865972076979</v>
      </c>
      <c r="T42" s="1045">
        <v>33061.865972076979</v>
      </c>
      <c r="U42" s="1045">
        <v>33061.865972076979</v>
      </c>
      <c r="V42" s="1045">
        <v>33061.865972076979</v>
      </c>
      <c r="W42" s="1045">
        <v>33061.865972076979</v>
      </c>
      <c r="X42" s="1045">
        <v>33061.865972076979</v>
      </c>
      <c r="Y42" s="1045">
        <v>33061.865972076979</v>
      </c>
      <c r="Z42" s="1045">
        <v>33061.865972076979</v>
      </c>
      <c r="AA42" s="1045">
        <v>33061.865972076979</v>
      </c>
      <c r="AB42" s="1045">
        <v>33061.865972076979</v>
      </c>
      <c r="AC42" s="1045">
        <v>33061.865972076979</v>
      </c>
      <c r="AD42" s="1045">
        <v>33061.865972076979</v>
      </c>
      <c r="AE42" s="1045">
        <v>33061.865972076979</v>
      </c>
      <c r="AF42" s="1045">
        <v>33061.865972076979</v>
      </c>
      <c r="AG42" s="1045">
        <v>33061.865972076979</v>
      </c>
      <c r="AH42" s="1045">
        <v>33061.865972076979</v>
      </c>
      <c r="AI42" s="1045">
        <v>33061.865972076979</v>
      </c>
      <c r="AJ42" s="1045">
        <v>33061.865972076979</v>
      </c>
    </row>
    <row r="43" spans="1:36" hidden="1">
      <c r="D43" s="275"/>
      <c r="E43" s="508"/>
      <c r="F43" s="508"/>
      <c r="G43" s="1045"/>
      <c r="H43" s="1045"/>
      <c r="I43" s="1045"/>
      <c r="J43" s="1045"/>
      <c r="K43" s="1045"/>
      <c r="L43" s="1045"/>
      <c r="M43" s="1045"/>
      <c r="N43" s="1045"/>
      <c r="O43" s="1045"/>
      <c r="P43" s="1045"/>
      <c r="Q43" s="1045"/>
      <c r="R43" s="1045"/>
      <c r="S43" s="1045"/>
      <c r="T43" s="1045"/>
      <c r="U43" s="1045"/>
      <c r="V43" s="1045"/>
      <c r="W43" s="1045"/>
      <c r="X43" s="1045"/>
      <c r="Y43" s="1045"/>
      <c r="Z43" s="1045"/>
      <c r="AA43" s="1045"/>
      <c r="AB43" s="1045"/>
      <c r="AC43" s="1045"/>
      <c r="AD43" s="1045"/>
      <c r="AE43" s="1045"/>
      <c r="AF43" s="1045"/>
      <c r="AG43" s="1045"/>
      <c r="AH43" s="1045"/>
      <c r="AI43" s="1045"/>
      <c r="AJ43" s="1045"/>
    </row>
    <row r="44" spans="1:36" s="1046" customFormat="1">
      <c r="A44" s="1074">
        <v>2</v>
      </c>
      <c r="B44" s="1309" t="s">
        <v>391</v>
      </c>
      <c r="C44" s="1042"/>
      <c r="D44" s="1075"/>
      <c r="E44" s="1076"/>
      <c r="F44" s="1077">
        <v>17032329.231717322</v>
      </c>
      <c r="G44" s="1045">
        <v>60636.090870124302</v>
      </c>
      <c r="H44" s="1045">
        <v>25899.54489035995</v>
      </c>
      <c r="I44" s="1045">
        <v>143833.93934518541</v>
      </c>
      <c r="J44" s="1045">
        <v>4324777.0619710768</v>
      </c>
      <c r="K44" s="1045">
        <v>985457.74878814025</v>
      </c>
      <c r="L44" s="1045">
        <v>439685.64756711625</v>
      </c>
      <c r="M44" s="1045">
        <v>1673597.7728142848</v>
      </c>
      <c r="N44" s="1045">
        <v>1152234.0717231876</v>
      </c>
      <c r="O44" s="1045">
        <v>1884616.6750870352</v>
      </c>
      <c r="P44" s="1045">
        <v>960270.31680762395</v>
      </c>
      <c r="Q44" s="1045">
        <v>2613997.7258695289</v>
      </c>
      <c r="R44" s="1045">
        <v>2313502.4517390579</v>
      </c>
      <c r="S44" s="1045">
        <v>28879</v>
      </c>
      <c r="T44" s="1045">
        <v>28879</v>
      </c>
      <c r="U44" s="1045">
        <v>28879</v>
      </c>
      <c r="V44" s="1045">
        <v>23591</v>
      </c>
      <c r="W44" s="1045">
        <v>23591</v>
      </c>
      <c r="X44" s="1045">
        <v>23591</v>
      </c>
      <c r="Y44" s="1045">
        <v>23591</v>
      </c>
      <c r="Z44" s="1045">
        <v>23591</v>
      </c>
      <c r="AA44" s="1045">
        <v>29286</v>
      </c>
      <c r="AB44" s="1045">
        <v>19931</v>
      </c>
      <c r="AC44" s="1045">
        <v>19931</v>
      </c>
      <c r="AD44" s="1045">
        <v>19931</v>
      </c>
      <c r="AE44" s="1045">
        <v>19931</v>
      </c>
      <c r="AF44" s="1045">
        <v>29286</v>
      </c>
      <c r="AG44" s="1045">
        <v>20745</v>
      </c>
      <c r="AH44" s="1045">
        <v>21559</v>
      </c>
      <c r="AI44" s="1045">
        <v>22777</v>
      </c>
      <c r="AJ44" s="1045">
        <v>19953</v>
      </c>
    </row>
    <row r="45" spans="1:36" s="1051" customFormat="1">
      <c r="A45" s="1074"/>
      <c r="B45" s="1310"/>
      <c r="C45" s="1047"/>
      <c r="D45" s="1078"/>
      <c r="E45" s="1079"/>
      <c r="F45" s="1080">
        <v>17427408.251717322</v>
      </c>
      <c r="G45" s="1045">
        <v>60636.090870124302</v>
      </c>
      <c r="H45" s="1045">
        <v>25899.54489035995</v>
      </c>
      <c r="I45" s="1045">
        <v>37248.668650953259</v>
      </c>
      <c r="J45" s="1045">
        <v>418682</v>
      </c>
      <c r="K45" s="1045">
        <v>5170382.3714534501</v>
      </c>
      <c r="L45" s="1045">
        <v>688390.57756711624</v>
      </c>
      <c r="M45" s="1045">
        <v>1673597.7728142848</v>
      </c>
      <c r="N45" s="1045">
        <v>1152234.0717231876</v>
      </c>
      <c r="O45" s="1045">
        <v>1884658.1650870387</v>
      </c>
      <c r="P45" s="1045">
        <v>960270.31680762395</v>
      </c>
      <c r="Q45" s="1045">
        <v>2613997.7258695289</v>
      </c>
      <c r="R45" s="1045">
        <v>2313502.4517390579</v>
      </c>
      <c r="S45" s="1045">
        <v>28879</v>
      </c>
      <c r="T45" s="1045">
        <v>28879</v>
      </c>
      <c r="U45" s="1045">
        <v>28879</v>
      </c>
      <c r="V45" s="1045">
        <v>23591</v>
      </c>
      <c r="W45" s="1045">
        <v>23591</v>
      </c>
      <c r="X45" s="1045">
        <v>23591</v>
      </c>
      <c r="Y45" s="1045">
        <v>23591</v>
      </c>
      <c r="Z45" s="1045">
        <v>23591</v>
      </c>
      <c r="AA45" s="1045">
        <v>29286</v>
      </c>
      <c r="AB45" s="1045">
        <v>19931</v>
      </c>
      <c r="AC45" s="1045">
        <v>19931</v>
      </c>
      <c r="AD45" s="1045">
        <v>19931</v>
      </c>
      <c r="AE45" s="1045">
        <v>19931</v>
      </c>
      <c r="AF45" s="1045">
        <v>29286</v>
      </c>
      <c r="AG45" s="1045">
        <v>20745</v>
      </c>
      <c r="AH45" s="1045">
        <v>21559</v>
      </c>
      <c r="AI45" s="1045">
        <v>22777</v>
      </c>
      <c r="AJ45" s="1045">
        <v>19939.494244596346</v>
      </c>
    </row>
    <row r="46" spans="1:36" s="1046" customFormat="1">
      <c r="A46" s="1309" t="s">
        <v>154</v>
      </c>
      <c r="B46" s="1311" t="s">
        <v>155</v>
      </c>
      <c r="C46" s="1052"/>
      <c r="D46" s="1065"/>
      <c r="E46" s="1066"/>
      <c r="F46" s="1066">
        <v>936659.90153830196</v>
      </c>
      <c r="G46" s="1045">
        <v>22756.965280754393</v>
      </c>
      <c r="H46" s="1045">
        <v>25327.596193628466</v>
      </c>
      <c r="I46" s="1045">
        <v>27827.865819322658</v>
      </c>
      <c r="J46" s="1045">
        <v>653589.9</v>
      </c>
      <c r="K46" s="1045">
        <v>8948</v>
      </c>
      <c r="L46" s="1045">
        <v>9152</v>
      </c>
      <c r="M46" s="1045">
        <v>8136</v>
      </c>
      <c r="N46" s="1045">
        <v>8136</v>
      </c>
      <c r="O46" s="1045">
        <v>8136</v>
      </c>
      <c r="P46" s="1045">
        <v>8744</v>
      </c>
      <c r="Q46" s="1045">
        <v>8340</v>
      </c>
      <c r="R46" s="1045">
        <v>7830</v>
      </c>
      <c r="S46" s="1045">
        <v>7830</v>
      </c>
      <c r="T46" s="1045">
        <v>7830</v>
      </c>
      <c r="U46" s="1045">
        <v>7830</v>
      </c>
      <c r="V46" s="1045">
        <v>6406</v>
      </c>
      <c r="W46" s="1045">
        <v>6406</v>
      </c>
      <c r="X46" s="1045">
        <v>6406</v>
      </c>
      <c r="Y46" s="1045">
        <v>6406</v>
      </c>
      <c r="Z46" s="1045">
        <v>6406</v>
      </c>
      <c r="AA46" s="1045">
        <v>7932</v>
      </c>
      <c r="AB46" s="1045">
        <v>5390</v>
      </c>
      <c r="AC46" s="1045">
        <v>5390</v>
      </c>
      <c r="AD46" s="1045">
        <v>5390</v>
      </c>
      <c r="AE46" s="1045">
        <v>5390</v>
      </c>
      <c r="AF46" s="1045">
        <v>7932</v>
      </c>
      <c r="AG46" s="1045">
        <v>5594</v>
      </c>
      <c r="AH46" s="1045">
        <v>5798</v>
      </c>
      <c r="AI46" s="1045">
        <v>6202</v>
      </c>
      <c r="AJ46" s="1045">
        <v>3354</v>
      </c>
    </row>
    <row r="47" spans="1:36" s="1051" customFormat="1">
      <c r="A47" s="1310"/>
      <c r="B47" s="1312"/>
      <c r="C47" s="1056"/>
      <c r="D47" s="1067"/>
      <c r="E47" s="1068"/>
      <c r="F47" s="1068">
        <v>1166714.721538302</v>
      </c>
      <c r="G47" s="1045">
        <v>22756.965280754393</v>
      </c>
      <c r="H47" s="1045">
        <v>25327.596193628466</v>
      </c>
      <c r="I47" s="1045">
        <v>27827.865819322658</v>
      </c>
      <c r="J47" s="1045">
        <v>417866</v>
      </c>
      <c r="K47" s="1045">
        <v>416916.19</v>
      </c>
      <c r="L47" s="1045">
        <v>92832.73</v>
      </c>
      <c r="M47" s="1045">
        <v>8136</v>
      </c>
      <c r="N47" s="1045">
        <v>8136</v>
      </c>
      <c r="O47" s="1045">
        <v>8136</v>
      </c>
      <c r="P47" s="1045">
        <v>8744</v>
      </c>
      <c r="Q47" s="1045">
        <v>8340</v>
      </c>
      <c r="R47" s="1045">
        <v>7830</v>
      </c>
      <c r="S47" s="1045">
        <v>7830</v>
      </c>
      <c r="T47" s="1045">
        <v>7830</v>
      </c>
      <c r="U47" s="1045">
        <v>7830</v>
      </c>
      <c r="V47" s="1045">
        <v>6406</v>
      </c>
      <c r="W47" s="1045">
        <v>6406</v>
      </c>
      <c r="X47" s="1045">
        <v>6406</v>
      </c>
      <c r="Y47" s="1045">
        <v>6406</v>
      </c>
      <c r="Z47" s="1045">
        <v>6406</v>
      </c>
      <c r="AA47" s="1045">
        <v>7932</v>
      </c>
      <c r="AB47" s="1045">
        <v>5390</v>
      </c>
      <c r="AC47" s="1045">
        <v>5390</v>
      </c>
      <c r="AD47" s="1045">
        <v>5390</v>
      </c>
      <c r="AE47" s="1045">
        <v>5390</v>
      </c>
      <c r="AF47" s="1045">
        <v>7932</v>
      </c>
      <c r="AG47" s="1045">
        <v>5594</v>
      </c>
      <c r="AH47" s="1045">
        <v>5798</v>
      </c>
      <c r="AI47" s="1045">
        <v>6202</v>
      </c>
      <c r="AJ47" s="1045">
        <v>3327.3742445963435</v>
      </c>
    </row>
    <row r="48" spans="1:36" s="1046" customFormat="1">
      <c r="A48" s="1060"/>
      <c r="B48" s="1315" t="s">
        <v>551</v>
      </c>
      <c r="C48" s="1305">
        <v>257</v>
      </c>
      <c r="D48" s="1301" t="s">
        <v>142</v>
      </c>
      <c r="E48" s="1061">
        <v>200</v>
      </c>
      <c r="F48" s="1062">
        <v>51400.001538301934</v>
      </c>
      <c r="G48" s="1045">
        <v>0</v>
      </c>
      <c r="H48" s="1045">
        <v>9135.2916839056688</v>
      </c>
      <c r="I48" s="1045">
        <v>13302.509854396265</v>
      </c>
      <c r="J48" s="1045">
        <v>1400</v>
      </c>
      <c r="K48" s="1045">
        <v>1400</v>
      </c>
      <c r="L48" s="1045">
        <v>1400</v>
      </c>
      <c r="M48" s="1045">
        <v>1200</v>
      </c>
      <c r="N48" s="1045">
        <v>1200</v>
      </c>
      <c r="O48" s="1045">
        <v>1200</v>
      </c>
      <c r="P48" s="1045">
        <v>1400</v>
      </c>
      <c r="Q48" s="1045">
        <v>1200</v>
      </c>
      <c r="R48" s="1045">
        <v>1200</v>
      </c>
      <c r="S48" s="1045">
        <v>1200</v>
      </c>
      <c r="T48" s="1045">
        <v>1200</v>
      </c>
      <c r="U48" s="1045">
        <v>1200</v>
      </c>
      <c r="V48" s="1045">
        <v>1000</v>
      </c>
      <c r="W48" s="1045">
        <v>1000</v>
      </c>
      <c r="X48" s="1045">
        <v>1000</v>
      </c>
      <c r="Y48" s="1045">
        <v>1000</v>
      </c>
      <c r="Z48" s="1045">
        <v>1000</v>
      </c>
      <c r="AA48" s="1045">
        <v>1200</v>
      </c>
      <c r="AB48" s="1045">
        <v>800</v>
      </c>
      <c r="AC48" s="1045">
        <v>800</v>
      </c>
      <c r="AD48" s="1045">
        <v>800</v>
      </c>
      <c r="AE48" s="1045">
        <v>800</v>
      </c>
      <c r="AF48" s="1045">
        <v>1200</v>
      </c>
      <c r="AG48" s="1045">
        <v>800</v>
      </c>
      <c r="AH48" s="1045">
        <v>800</v>
      </c>
      <c r="AI48" s="1045">
        <v>1000</v>
      </c>
      <c r="AJ48" s="1045">
        <v>562.20000000000005</v>
      </c>
    </row>
    <row r="49" spans="1:36" s="1051" customFormat="1">
      <c r="A49" s="1060"/>
      <c r="B49" s="1316"/>
      <c r="C49" s="1306"/>
      <c r="D49" s="1302"/>
      <c r="E49" s="1063"/>
      <c r="F49" s="1064">
        <v>51437.801538301937</v>
      </c>
      <c r="G49" s="1045">
        <v>0</v>
      </c>
      <c r="H49" s="1045">
        <v>9135.2916839056688</v>
      </c>
      <c r="I49" s="1045">
        <v>13302.509854396265</v>
      </c>
      <c r="J49" s="1045">
        <v>1400</v>
      </c>
      <c r="K49" s="1045">
        <v>1400</v>
      </c>
      <c r="L49" s="1045">
        <v>1400</v>
      </c>
      <c r="M49" s="1045">
        <v>1200</v>
      </c>
      <c r="N49" s="1045">
        <v>1200</v>
      </c>
      <c r="O49" s="1045">
        <v>1200</v>
      </c>
      <c r="P49" s="1045">
        <v>1400</v>
      </c>
      <c r="Q49" s="1045">
        <v>1200</v>
      </c>
      <c r="R49" s="1045">
        <v>1200</v>
      </c>
      <c r="S49" s="1045">
        <v>1200</v>
      </c>
      <c r="T49" s="1045">
        <v>1200</v>
      </c>
      <c r="U49" s="1045">
        <v>1200</v>
      </c>
      <c r="V49" s="1045">
        <v>1000</v>
      </c>
      <c r="W49" s="1045">
        <v>1000</v>
      </c>
      <c r="X49" s="1045">
        <v>1000</v>
      </c>
      <c r="Y49" s="1045">
        <v>1000</v>
      </c>
      <c r="Z49" s="1045">
        <v>1000</v>
      </c>
      <c r="AA49" s="1045">
        <v>1200</v>
      </c>
      <c r="AB49" s="1045">
        <v>800</v>
      </c>
      <c r="AC49" s="1045">
        <v>800</v>
      </c>
      <c r="AD49" s="1045">
        <v>800</v>
      </c>
      <c r="AE49" s="1045">
        <v>800</v>
      </c>
      <c r="AF49" s="1045">
        <v>1200</v>
      </c>
      <c r="AG49" s="1045">
        <v>800</v>
      </c>
      <c r="AH49" s="1045">
        <v>800</v>
      </c>
      <c r="AI49" s="1045">
        <v>1000</v>
      </c>
      <c r="AJ49" s="1045">
        <v>600</v>
      </c>
    </row>
    <row r="50" spans="1:36" s="1046" customFormat="1">
      <c r="A50" s="1060"/>
      <c r="B50" s="1317" t="s">
        <v>552</v>
      </c>
      <c r="C50" s="1081">
        <v>5860</v>
      </c>
      <c r="D50" s="1301" t="s">
        <v>254</v>
      </c>
      <c r="E50" s="1061">
        <v>102</v>
      </c>
      <c r="F50" s="1062">
        <v>623628</v>
      </c>
      <c r="G50" s="1045">
        <v>22756.965280754393</v>
      </c>
      <c r="H50" s="1045">
        <v>16192.304509722799</v>
      </c>
      <c r="I50" s="1045">
        <v>14525.355964926393</v>
      </c>
      <c r="J50" s="1045">
        <v>416466</v>
      </c>
      <c r="K50" s="1045">
        <v>7548</v>
      </c>
      <c r="L50" s="1045">
        <v>7752</v>
      </c>
      <c r="M50" s="1045">
        <v>6936</v>
      </c>
      <c r="N50" s="1045">
        <v>6936</v>
      </c>
      <c r="O50" s="1045">
        <v>6936</v>
      </c>
      <c r="P50" s="1045">
        <v>7344</v>
      </c>
      <c r="Q50" s="1045">
        <v>7140</v>
      </c>
      <c r="R50" s="1045">
        <v>6630</v>
      </c>
      <c r="S50" s="1045">
        <v>6630</v>
      </c>
      <c r="T50" s="1045">
        <v>6630</v>
      </c>
      <c r="U50" s="1045">
        <v>6630</v>
      </c>
      <c r="V50" s="1045">
        <v>5406</v>
      </c>
      <c r="W50" s="1045">
        <v>5406</v>
      </c>
      <c r="X50" s="1045">
        <v>5406</v>
      </c>
      <c r="Y50" s="1045">
        <v>5406</v>
      </c>
      <c r="Z50" s="1045">
        <v>5406</v>
      </c>
      <c r="AA50" s="1045">
        <v>6732</v>
      </c>
      <c r="AB50" s="1045">
        <v>4590</v>
      </c>
      <c r="AC50" s="1045">
        <v>4590</v>
      </c>
      <c r="AD50" s="1045">
        <v>4590</v>
      </c>
      <c r="AE50" s="1045">
        <v>4590</v>
      </c>
      <c r="AF50" s="1045">
        <v>6732</v>
      </c>
      <c r="AG50" s="1045">
        <v>4794</v>
      </c>
      <c r="AH50" s="1045">
        <v>4998</v>
      </c>
      <c r="AI50" s="1045">
        <v>5202</v>
      </c>
      <c r="AJ50" s="1045">
        <v>2727.3742445963435</v>
      </c>
    </row>
    <row r="51" spans="1:36" s="1051" customFormat="1">
      <c r="A51" s="1060"/>
      <c r="B51" s="1318"/>
      <c r="C51" s="1081">
        <v>6114</v>
      </c>
      <c r="D51" s="1302"/>
      <c r="E51" s="1063"/>
      <c r="F51" s="1064">
        <v>623628</v>
      </c>
      <c r="G51" s="1045">
        <v>22756.965280754393</v>
      </c>
      <c r="H51" s="1045">
        <v>16192.304509722799</v>
      </c>
      <c r="I51" s="1045">
        <v>14525.355964926393</v>
      </c>
      <c r="J51" s="1045">
        <v>416466</v>
      </c>
      <c r="K51" s="1045">
        <v>7548</v>
      </c>
      <c r="L51" s="1045">
        <v>7752</v>
      </c>
      <c r="M51" s="1045">
        <v>6936</v>
      </c>
      <c r="N51" s="1045">
        <v>6936</v>
      </c>
      <c r="O51" s="1045">
        <v>6936</v>
      </c>
      <c r="P51" s="1045">
        <v>7344</v>
      </c>
      <c r="Q51" s="1045">
        <v>7140</v>
      </c>
      <c r="R51" s="1045">
        <v>6630</v>
      </c>
      <c r="S51" s="1045">
        <v>6630</v>
      </c>
      <c r="T51" s="1045">
        <v>6630</v>
      </c>
      <c r="U51" s="1045">
        <v>6630</v>
      </c>
      <c r="V51" s="1045">
        <v>5406</v>
      </c>
      <c r="W51" s="1045">
        <v>5406</v>
      </c>
      <c r="X51" s="1045">
        <v>5406</v>
      </c>
      <c r="Y51" s="1045">
        <v>5406</v>
      </c>
      <c r="Z51" s="1045">
        <v>5406</v>
      </c>
      <c r="AA51" s="1045">
        <v>6732</v>
      </c>
      <c r="AB51" s="1045">
        <v>4590</v>
      </c>
      <c r="AC51" s="1045">
        <v>4590</v>
      </c>
      <c r="AD51" s="1045">
        <v>4590</v>
      </c>
      <c r="AE51" s="1045">
        <v>4590</v>
      </c>
      <c r="AF51" s="1045">
        <v>6732</v>
      </c>
      <c r="AG51" s="1045">
        <v>4794</v>
      </c>
      <c r="AH51" s="1045">
        <v>4998</v>
      </c>
      <c r="AI51" s="1045">
        <v>5202</v>
      </c>
      <c r="AJ51" s="1045">
        <v>2727.3742445963435</v>
      </c>
    </row>
    <row r="52" spans="1:36" s="1046" customFormat="1" ht="23.25" customHeight="1">
      <c r="A52" s="1060"/>
      <c r="B52" s="1315" t="s">
        <v>553</v>
      </c>
      <c r="C52" s="1305">
        <v>1</v>
      </c>
      <c r="D52" s="1301" t="s">
        <v>142</v>
      </c>
      <c r="E52" s="1061">
        <v>261631.90338495115</v>
      </c>
      <c r="F52" s="1062">
        <v>261631.9</v>
      </c>
      <c r="G52" s="1045">
        <v>0</v>
      </c>
      <c r="H52" s="1045">
        <v>0</v>
      </c>
      <c r="I52" s="1045">
        <v>0</v>
      </c>
      <c r="J52" s="1132">
        <v>261631.9</v>
      </c>
      <c r="K52" s="1045">
        <v>0</v>
      </c>
      <c r="L52" s="1045">
        <v>0</v>
      </c>
      <c r="M52" s="1045">
        <v>0</v>
      </c>
      <c r="N52" s="1045">
        <v>0</v>
      </c>
      <c r="O52" s="1045">
        <v>0</v>
      </c>
      <c r="P52" s="1045">
        <v>0</v>
      </c>
      <c r="Q52" s="1045">
        <v>0</v>
      </c>
      <c r="R52" s="1045">
        <v>0</v>
      </c>
      <c r="S52" s="1045">
        <v>0</v>
      </c>
      <c r="T52" s="1045">
        <v>0</v>
      </c>
      <c r="U52" s="1045">
        <v>0</v>
      </c>
      <c r="V52" s="1045">
        <v>0</v>
      </c>
      <c r="W52" s="1045">
        <v>0</v>
      </c>
      <c r="X52" s="1045">
        <v>0</v>
      </c>
      <c r="Y52" s="1045">
        <v>0</v>
      </c>
      <c r="Z52" s="1045">
        <v>0</v>
      </c>
      <c r="AA52" s="1045">
        <v>0</v>
      </c>
      <c r="AB52" s="1045">
        <v>0</v>
      </c>
      <c r="AC52" s="1045">
        <v>0</v>
      </c>
      <c r="AD52" s="1045">
        <v>0</v>
      </c>
      <c r="AE52" s="1045">
        <v>0</v>
      </c>
      <c r="AF52" s="1045">
        <v>0</v>
      </c>
      <c r="AG52" s="1045">
        <v>0</v>
      </c>
      <c r="AH52" s="1045">
        <v>0</v>
      </c>
      <c r="AI52" s="1045">
        <v>0</v>
      </c>
      <c r="AJ52" s="1045">
        <v>0</v>
      </c>
    </row>
    <row r="53" spans="1:36" s="1051" customFormat="1">
      <c r="A53" s="1060"/>
      <c r="B53" s="1316"/>
      <c r="C53" s="1306"/>
      <c r="D53" s="1302"/>
      <c r="E53" s="1063"/>
      <c r="F53" s="1064">
        <v>0</v>
      </c>
      <c r="G53" s="1045">
        <v>0</v>
      </c>
      <c r="H53" s="1045">
        <v>0</v>
      </c>
      <c r="I53" s="1045">
        <v>0</v>
      </c>
      <c r="J53" s="1045">
        <v>0</v>
      </c>
      <c r="K53" s="1045">
        <v>0</v>
      </c>
      <c r="L53" s="1045">
        <v>0</v>
      </c>
      <c r="M53" s="1045">
        <v>0</v>
      </c>
      <c r="N53" s="1045">
        <v>0</v>
      </c>
      <c r="O53" s="1045">
        <v>0</v>
      </c>
      <c r="P53" s="1045">
        <v>0</v>
      </c>
      <c r="Q53" s="1045">
        <v>0</v>
      </c>
      <c r="R53" s="1045">
        <v>0</v>
      </c>
      <c r="S53" s="1045">
        <v>0</v>
      </c>
      <c r="T53" s="1045">
        <v>0</v>
      </c>
      <c r="U53" s="1045">
        <v>0</v>
      </c>
      <c r="V53" s="1045">
        <v>0</v>
      </c>
      <c r="W53" s="1045">
        <v>0</v>
      </c>
      <c r="X53" s="1045">
        <v>0</v>
      </c>
      <c r="Y53" s="1045">
        <v>0</v>
      </c>
      <c r="Z53" s="1045">
        <v>0</v>
      </c>
      <c r="AA53" s="1045">
        <v>0</v>
      </c>
      <c r="AB53" s="1045">
        <v>0</v>
      </c>
      <c r="AC53" s="1045">
        <v>0</v>
      </c>
      <c r="AD53" s="1045">
        <v>0</v>
      </c>
      <c r="AE53" s="1045">
        <v>0</v>
      </c>
      <c r="AF53" s="1045">
        <v>0</v>
      </c>
      <c r="AG53" s="1045">
        <v>0</v>
      </c>
      <c r="AH53" s="1045">
        <v>0</v>
      </c>
      <c r="AI53" s="1045">
        <v>0</v>
      </c>
      <c r="AJ53" s="1045">
        <v>0</v>
      </c>
    </row>
    <row r="54" spans="1:36" s="1046" customFormat="1">
      <c r="A54" s="1060"/>
      <c r="B54" s="1315" t="s">
        <v>565</v>
      </c>
      <c r="C54" s="1305">
        <v>1</v>
      </c>
      <c r="D54" s="1301" t="s">
        <v>142</v>
      </c>
      <c r="E54" s="1061">
        <v>0</v>
      </c>
      <c r="F54" s="1062">
        <v>0</v>
      </c>
      <c r="G54" s="1045">
        <v>0</v>
      </c>
      <c r="H54" s="1045">
        <v>0</v>
      </c>
      <c r="I54" s="1045">
        <v>0</v>
      </c>
      <c r="J54" s="1045">
        <v>0</v>
      </c>
      <c r="K54" s="1045">
        <v>0</v>
      </c>
      <c r="L54" s="1045">
        <v>0</v>
      </c>
      <c r="M54" s="1045">
        <v>0</v>
      </c>
      <c r="N54" s="1045">
        <v>0</v>
      </c>
      <c r="O54" s="1045">
        <v>0</v>
      </c>
      <c r="P54" s="1045">
        <v>0</v>
      </c>
      <c r="Q54" s="1045">
        <v>0</v>
      </c>
      <c r="R54" s="1045">
        <v>0</v>
      </c>
      <c r="S54" s="1045">
        <v>0</v>
      </c>
      <c r="T54" s="1045">
        <v>0</v>
      </c>
      <c r="U54" s="1045">
        <v>0</v>
      </c>
      <c r="V54" s="1045">
        <v>0</v>
      </c>
      <c r="W54" s="1045">
        <v>0</v>
      </c>
      <c r="X54" s="1045">
        <v>0</v>
      </c>
      <c r="Y54" s="1045">
        <v>0</v>
      </c>
      <c r="Z54" s="1045">
        <v>0</v>
      </c>
      <c r="AA54" s="1045">
        <v>0</v>
      </c>
      <c r="AB54" s="1045">
        <v>0</v>
      </c>
      <c r="AC54" s="1045">
        <v>0</v>
      </c>
      <c r="AD54" s="1045">
        <v>0</v>
      </c>
      <c r="AE54" s="1045">
        <v>0</v>
      </c>
      <c r="AF54" s="1045">
        <v>0</v>
      </c>
      <c r="AG54" s="1045">
        <v>0</v>
      </c>
      <c r="AH54" s="1045">
        <v>0</v>
      </c>
      <c r="AI54" s="1045">
        <v>0</v>
      </c>
      <c r="AJ54" s="1045">
        <v>0</v>
      </c>
    </row>
    <row r="55" spans="1:36" s="1051" customFormat="1">
      <c r="A55" s="1060"/>
      <c r="B55" s="1316"/>
      <c r="C55" s="1306"/>
      <c r="D55" s="1302"/>
      <c r="E55" s="1064">
        <v>83680.73</v>
      </c>
      <c r="F55" s="1064">
        <v>83680.73</v>
      </c>
      <c r="G55" s="1045">
        <v>0</v>
      </c>
      <c r="H55" s="1045">
        <v>0</v>
      </c>
      <c r="I55" s="1045">
        <v>0</v>
      </c>
      <c r="J55" s="1045">
        <v>0</v>
      </c>
      <c r="K55" s="1045">
        <v>0</v>
      </c>
      <c r="L55" s="1132">
        <v>83680.73</v>
      </c>
      <c r="M55" s="1045">
        <v>0</v>
      </c>
      <c r="N55" s="1045">
        <v>0</v>
      </c>
      <c r="O55" s="1045">
        <v>0</v>
      </c>
      <c r="P55" s="1045">
        <v>0</v>
      </c>
      <c r="Q55" s="1045">
        <v>0</v>
      </c>
      <c r="R55" s="1045">
        <v>0</v>
      </c>
      <c r="S55" s="1045">
        <v>0</v>
      </c>
      <c r="T55" s="1045">
        <v>0</v>
      </c>
      <c r="U55" s="1045">
        <v>0</v>
      </c>
      <c r="V55" s="1045">
        <v>0</v>
      </c>
      <c r="W55" s="1045">
        <v>0</v>
      </c>
      <c r="X55" s="1045">
        <v>0</v>
      </c>
      <c r="Y55" s="1045">
        <v>0</v>
      </c>
      <c r="Z55" s="1045">
        <v>0</v>
      </c>
      <c r="AA55" s="1045">
        <v>0</v>
      </c>
      <c r="AB55" s="1045">
        <v>0</v>
      </c>
      <c r="AC55" s="1045">
        <v>0</v>
      </c>
      <c r="AD55" s="1045">
        <v>0</v>
      </c>
      <c r="AE55" s="1045">
        <v>0</v>
      </c>
      <c r="AF55" s="1045">
        <v>0</v>
      </c>
      <c r="AG55" s="1045">
        <v>0</v>
      </c>
      <c r="AH55" s="1045">
        <v>0</v>
      </c>
      <c r="AI55" s="1045">
        <v>0</v>
      </c>
      <c r="AJ55" s="1045">
        <v>0</v>
      </c>
    </row>
    <row r="56" spans="1:36" s="1046" customFormat="1">
      <c r="A56" s="1060"/>
      <c r="B56" s="1315" t="s">
        <v>566</v>
      </c>
      <c r="C56" s="1305">
        <v>1</v>
      </c>
      <c r="D56" s="1301" t="s">
        <v>142</v>
      </c>
      <c r="E56" s="1061">
        <v>0</v>
      </c>
      <c r="F56" s="1062">
        <v>0</v>
      </c>
      <c r="G56" s="1045">
        <v>0</v>
      </c>
      <c r="H56" s="1045">
        <v>0</v>
      </c>
      <c r="I56" s="1045">
        <v>0</v>
      </c>
      <c r="J56" s="1045">
        <v>0</v>
      </c>
      <c r="K56" s="1045">
        <v>0</v>
      </c>
      <c r="L56" s="1045">
        <v>0</v>
      </c>
      <c r="M56" s="1045">
        <v>0</v>
      </c>
      <c r="N56" s="1045">
        <v>0</v>
      </c>
      <c r="O56" s="1045">
        <v>0</v>
      </c>
      <c r="P56" s="1045">
        <v>0</v>
      </c>
      <c r="Q56" s="1045">
        <v>0</v>
      </c>
      <c r="R56" s="1045">
        <v>0</v>
      </c>
      <c r="S56" s="1045">
        <v>0</v>
      </c>
      <c r="T56" s="1045">
        <v>0</v>
      </c>
      <c r="U56" s="1045">
        <v>0</v>
      </c>
      <c r="V56" s="1045">
        <v>0</v>
      </c>
      <c r="W56" s="1045">
        <v>0</v>
      </c>
      <c r="X56" s="1045">
        <v>0</v>
      </c>
      <c r="Y56" s="1045">
        <v>0</v>
      </c>
      <c r="Z56" s="1045">
        <v>0</v>
      </c>
      <c r="AA56" s="1045">
        <v>0</v>
      </c>
      <c r="AB56" s="1045">
        <v>0</v>
      </c>
      <c r="AC56" s="1045">
        <v>0</v>
      </c>
      <c r="AD56" s="1045">
        <v>0</v>
      </c>
      <c r="AE56" s="1045">
        <v>0</v>
      </c>
      <c r="AF56" s="1045">
        <v>0</v>
      </c>
      <c r="AG56" s="1045">
        <v>0</v>
      </c>
      <c r="AH56" s="1045">
        <v>0</v>
      </c>
      <c r="AI56" s="1045">
        <v>0</v>
      </c>
      <c r="AJ56" s="1045">
        <v>0</v>
      </c>
    </row>
    <row r="57" spans="1:36" s="1051" customFormat="1">
      <c r="A57" s="1060"/>
      <c r="B57" s="1316"/>
      <c r="C57" s="1306"/>
      <c r="D57" s="1302"/>
      <c r="E57" s="1064">
        <v>316289.11</v>
      </c>
      <c r="F57" s="1064">
        <v>316289.11</v>
      </c>
      <c r="G57" s="1045">
        <v>0</v>
      </c>
      <c r="H57" s="1045">
        <v>0</v>
      </c>
      <c r="I57" s="1045">
        <v>0</v>
      </c>
      <c r="J57" s="1045">
        <v>0</v>
      </c>
      <c r="K57" s="1132">
        <v>316289.11</v>
      </c>
      <c r="L57" s="1045">
        <v>0</v>
      </c>
      <c r="M57" s="1045">
        <v>0</v>
      </c>
      <c r="N57" s="1045">
        <v>0</v>
      </c>
      <c r="O57" s="1045">
        <v>0</v>
      </c>
      <c r="P57" s="1045">
        <v>0</v>
      </c>
      <c r="Q57" s="1045">
        <v>0</v>
      </c>
      <c r="R57" s="1045">
        <v>0</v>
      </c>
      <c r="S57" s="1045">
        <v>0</v>
      </c>
      <c r="T57" s="1045">
        <v>0</v>
      </c>
      <c r="U57" s="1045">
        <v>0</v>
      </c>
      <c r="V57" s="1045">
        <v>0</v>
      </c>
      <c r="W57" s="1045">
        <v>0</v>
      </c>
      <c r="X57" s="1045">
        <v>0</v>
      </c>
      <c r="Y57" s="1045">
        <v>0</v>
      </c>
      <c r="Z57" s="1045">
        <v>0</v>
      </c>
      <c r="AA57" s="1045">
        <v>0</v>
      </c>
      <c r="AB57" s="1045">
        <v>0</v>
      </c>
      <c r="AC57" s="1045">
        <v>0</v>
      </c>
      <c r="AD57" s="1045">
        <v>0</v>
      </c>
      <c r="AE57" s="1045">
        <v>0</v>
      </c>
      <c r="AF57" s="1045">
        <v>0</v>
      </c>
      <c r="AG57" s="1045">
        <v>0</v>
      </c>
      <c r="AH57" s="1045">
        <v>0</v>
      </c>
      <c r="AI57" s="1045">
        <v>0</v>
      </c>
      <c r="AJ57" s="1045">
        <v>0</v>
      </c>
    </row>
    <row r="58" spans="1:36" s="1046" customFormat="1">
      <c r="A58" s="1060"/>
      <c r="B58" s="1315" t="s">
        <v>567</v>
      </c>
      <c r="C58" s="1305">
        <v>1</v>
      </c>
      <c r="D58" s="1301" t="s">
        <v>142</v>
      </c>
      <c r="E58" s="1061">
        <v>0</v>
      </c>
      <c r="F58" s="1062">
        <v>0</v>
      </c>
      <c r="G58" s="1045">
        <v>0</v>
      </c>
      <c r="H58" s="1045">
        <v>0</v>
      </c>
      <c r="I58" s="1045">
        <v>0</v>
      </c>
      <c r="J58" s="1045">
        <v>0</v>
      </c>
      <c r="K58" s="1045">
        <v>0</v>
      </c>
      <c r="L58" s="1045">
        <v>0</v>
      </c>
      <c r="M58" s="1045">
        <v>0</v>
      </c>
      <c r="N58" s="1045">
        <v>0</v>
      </c>
      <c r="O58" s="1045">
        <v>0</v>
      </c>
      <c r="P58" s="1045">
        <v>0</v>
      </c>
      <c r="Q58" s="1045">
        <v>0</v>
      </c>
      <c r="R58" s="1045">
        <v>0</v>
      </c>
      <c r="S58" s="1045">
        <v>0</v>
      </c>
      <c r="T58" s="1045">
        <v>0</v>
      </c>
      <c r="U58" s="1045">
        <v>0</v>
      </c>
      <c r="V58" s="1045">
        <v>0</v>
      </c>
      <c r="W58" s="1045">
        <v>0</v>
      </c>
      <c r="X58" s="1045">
        <v>0</v>
      </c>
      <c r="Y58" s="1045">
        <v>0</v>
      </c>
      <c r="Z58" s="1045">
        <v>0</v>
      </c>
      <c r="AA58" s="1045">
        <v>0</v>
      </c>
      <c r="AB58" s="1045">
        <v>0</v>
      </c>
      <c r="AC58" s="1045">
        <v>0</v>
      </c>
      <c r="AD58" s="1045">
        <v>0</v>
      </c>
      <c r="AE58" s="1045">
        <v>0</v>
      </c>
      <c r="AF58" s="1045">
        <v>0</v>
      </c>
      <c r="AG58" s="1045">
        <v>0</v>
      </c>
      <c r="AH58" s="1045">
        <v>0</v>
      </c>
      <c r="AI58" s="1045">
        <v>0</v>
      </c>
      <c r="AJ58" s="1045">
        <v>0</v>
      </c>
    </row>
    <row r="59" spans="1:36" s="1051" customFormat="1">
      <c r="A59" s="1060"/>
      <c r="B59" s="1316"/>
      <c r="C59" s="1306"/>
      <c r="D59" s="1302"/>
      <c r="E59" s="1064">
        <v>91679.08</v>
      </c>
      <c r="F59" s="1064">
        <v>91679.08</v>
      </c>
      <c r="G59" s="1045">
        <v>0</v>
      </c>
      <c r="H59" s="1045">
        <v>0</v>
      </c>
      <c r="I59" s="1045">
        <v>0</v>
      </c>
      <c r="J59" s="1045">
        <v>0</v>
      </c>
      <c r="K59" s="1132">
        <v>91679.08</v>
      </c>
      <c r="L59" s="1045">
        <v>0</v>
      </c>
      <c r="M59" s="1045">
        <v>0</v>
      </c>
      <c r="N59" s="1045">
        <v>0</v>
      </c>
      <c r="O59" s="1045">
        <v>0</v>
      </c>
      <c r="P59" s="1045">
        <v>0</v>
      </c>
      <c r="Q59" s="1045">
        <v>0</v>
      </c>
      <c r="R59" s="1045">
        <v>0</v>
      </c>
      <c r="S59" s="1045">
        <v>0</v>
      </c>
      <c r="T59" s="1045">
        <v>0</v>
      </c>
      <c r="U59" s="1045">
        <v>0</v>
      </c>
      <c r="V59" s="1045">
        <v>0</v>
      </c>
      <c r="W59" s="1045">
        <v>0</v>
      </c>
      <c r="X59" s="1045">
        <v>0</v>
      </c>
      <c r="Y59" s="1045">
        <v>0</v>
      </c>
      <c r="Z59" s="1045">
        <v>0</v>
      </c>
      <c r="AA59" s="1045">
        <v>0</v>
      </c>
      <c r="AB59" s="1045">
        <v>0</v>
      </c>
      <c r="AC59" s="1045">
        <v>0</v>
      </c>
      <c r="AD59" s="1045">
        <v>0</v>
      </c>
      <c r="AE59" s="1045">
        <v>0</v>
      </c>
      <c r="AF59" s="1045">
        <v>0</v>
      </c>
      <c r="AG59" s="1045">
        <v>0</v>
      </c>
      <c r="AH59" s="1045">
        <v>0</v>
      </c>
      <c r="AI59" s="1045">
        <v>0</v>
      </c>
      <c r="AJ59" s="1045">
        <v>0</v>
      </c>
    </row>
    <row r="60" spans="1:36" ht="8.25" customHeight="1">
      <c r="B60" s="1082"/>
      <c r="D60" s="275"/>
      <c r="E60" s="508"/>
      <c r="F60" s="508"/>
      <c r="G60" s="1045"/>
      <c r="H60" s="1045"/>
      <c r="I60" s="1045"/>
      <c r="J60" s="1045"/>
      <c r="K60" s="1045"/>
      <c r="L60" s="1045"/>
      <c r="M60" s="1045"/>
      <c r="N60" s="1045"/>
      <c r="O60" s="1045"/>
      <c r="P60" s="1045"/>
      <c r="Q60" s="1045"/>
      <c r="R60" s="1045"/>
      <c r="S60" s="1045"/>
      <c r="T60" s="1045"/>
      <c r="U60" s="1045"/>
      <c r="V60" s="1045"/>
      <c r="W60" s="1045"/>
      <c r="X60" s="1045"/>
      <c r="Y60" s="1045"/>
      <c r="Z60" s="1045"/>
      <c r="AA60" s="1045"/>
      <c r="AB60" s="1045"/>
      <c r="AC60" s="1045"/>
      <c r="AD60" s="1045"/>
      <c r="AE60" s="1045"/>
      <c r="AF60" s="1045"/>
      <c r="AG60" s="1045"/>
      <c r="AH60" s="1045"/>
      <c r="AI60" s="1045"/>
      <c r="AJ60" s="1045"/>
    </row>
    <row r="61" spans="1:36" s="1046" customFormat="1">
      <c r="A61" s="1309" t="s">
        <v>156</v>
      </c>
      <c r="B61" s="1311" t="s">
        <v>157</v>
      </c>
      <c r="C61" s="1052"/>
      <c r="D61" s="1065"/>
      <c r="E61" s="1066"/>
      <c r="F61" s="1066">
        <v>16095669.330179021</v>
      </c>
      <c r="G61" s="1045">
        <v>37879.125589369905</v>
      </c>
      <c r="H61" s="1045">
        <v>571.94869673148537</v>
      </c>
      <c r="I61" s="1045">
        <v>116006.07352586275</v>
      </c>
      <c r="J61" s="1045">
        <v>3671187.1619710769</v>
      </c>
      <c r="K61" s="1045">
        <v>976509.74878814025</v>
      </c>
      <c r="L61" s="1045">
        <v>430533.64756711625</v>
      </c>
      <c r="M61" s="1045">
        <v>1665461.7728142848</v>
      </c>
      <c r="N61" s="1045">
        <v>1144098.0717231876</v>
      </c>
      <c r="O61" s="1045">
        <v>1876480.6750870352</v>
      </c>
      <c r="P61" s="1045">
        <v>951526.31680762395</v>
      </c>
      <c r="Q61" s="1045">
        <v>2605657.7258695289</v>
      </c>
      <c r="R61" s="1045">
        <v>2305672.4517390579</v>
      </c>
      <c r="S61" s="1045">
        <v>21049</v>
      </c>
      <c r="T61" s="1045">
        <v>21049</v>
      </c>
      <c r="U61" s="1045">
        <v>21049</v>
      </c>
      <c r="V61" s="1045">
        <v>17185</v>
      </c>
      <c r="W61" s="1045">
        <v>17185</v>
      </c>
      <c r="X61" s="1045">
        <v>17185</v>
      </c>
      <c r="Y61" s="1045">
        <v>17185</v>
      </c>
      <c r="Z61" s="1045">
        <v>17185</v>
      </c>
      <c r="AA61" s="1045">
        <v>21354</v>
      </c>
      <c r="AB61" s="1045">
        <v>14541</v>
      </c>
      <c r="AC61" s="1045">
        <v>14541</v>
      </c>
      <c r="AD61" s="1045">
        <v>14541</v>
      </c>
      <c r="AE61" s="1045">
        <v>14541</v>
      </c>
      <c r="AF61" s="1045">
        <v>21354</v>
      </c>
      <c r="AG61" s="1045">
        <v>15151</v>
      </c>
      <c r="AH61" s="1045">
        <v>15761</v>
      </c>
      <c r="AI61" s="1045">
        <v>16575</v>
      </c>
      <c r="AJ61" s="1045">
        <v>16599</v>
      </c>
    </row>
    <row r="62" spans="1:36" s="1051" customFormat="1">
      <c r="A62" s="1310"/>
      <c r="B62" s="1312"/>
      <c r="C62" s="1056"/>
      <c r="D62" s="1067"/>
      <c r="E62" s="1068"/>
      <c r="F62" s="1068">
        <v>16260693.53017902</v>
      </c>
      <c r="G62" s="1045">
        <v>37879.125589369905</v>
      </c>
      <c r="H62" s="1045">
        <v>571.94869673148537</v>
      </c>
      <c r="I62" s="1045">
        <v>9420.8028316306008</v>
      </c>
      <c r="J62" s="1045">
        <v>816</v>
      </c>
      <c r="K62" s="1045">
        <v>4753466.1814534497</v>
      </c>
      <c r="L62" s="1045">
        <v>595557.84756711626</v>
      </c>
      <c r="M62" s="1045">
        <v>1665461.7728142848</v>
      </c>
      <c r="N62" s="1045">
        <v>1144098.0717231876</v>
      </c>
      <c r="O62" s="1045">
        <v>1876522.1650870387</v>
      </c>
      <c r="P62" s="1045">
        <v>951526.31680762395</v>
      </c>
      <c r="Q62" s="1045">
        <v>2605657.7258695289</v>
      </c>
      <c r="R62" s="1045">
        <v>2305672.4517390579</v>
      </c>
      <c r="S62" s="1045">
        <v>21049</v>
      </c>
      <c r="T62" s="1045">
        <v>21049</v>
      </c>
      <c r="U62" s="1045">
        <v>21049</v>
      </c>
      <c r="V62" s="1045">
        <v>17185</v>
      </c>
      <c r="W62" s="1045">
        <v>17185</v>
      </c>
      <c r="X62" s="1045">
        <v>17185</v>
      </c>
      <c r="Y62" s="1045">
        <v>17185</v>
      </c>
      <c r="Z62" s="1045">
        <v>17185</v>
      </c>
      <c r="AA62" s="1045">
        <v>21354</v>
      </c>
      <c r="AB62" s="1045">
        <v>14541</v>
      </c>
      <c r="AC62" s="1045">
        <v>14541</v>
      </c>
      <c r="AD62" s="1045">
        <v>14541</v>
      </c>
      <c r="AE62" s="1045">
        <v>14541</v>
      </c>
      <c r="AF62" s="1045">
        <v>21354</v>
      </c>
      <c r="AG62" s="1045">
        <v>15151</v>
      </c>
      <c r="AH62" s="1045">
        <v>15761</v>
      </c>
      <c r="AI62" s="1045">
        <v>16575</v>
      </c>
      <c r="AJ62" s="1045">
        <v>16612.120000000003</v>
      </c>
    </row>
    <row r="63" spans="1:36" s="1046" customFormat="1">
      <c r="A63" s="1060"/>
      <c r="B63" s="1315" t="s">
        <v>554</v>
      </c>
      <c r="C63" s="1305">
        <v>1987</v>
      </c>
      <c r="D63" s="1301" t="s">
        <v>142</v>
      </c>
      <c r="E63" s="1061">
        <v>204</v>
      </c>
      <c r="F63" s="1062">
        <v>398820</v>
      </c>
      <c r="G63" s="1045">
        <v>0</v>
      </c>
      <c r="H63" s="1045">
        <v>0</v>
      </c>
      <c r="I63" s="1045">
        <v>0</v>
      </c>
      <c r="J63" s="1045">
        <v>816</v>
      </c>
      <c r="K63" s="1045">
        <v>816</v>
      </c>
      <c r="L63" s="1045">
        <v>17748</v>
      </c>
      <c r="M63" s="1045">
        <v>85272</v>
      </c>
      <c r="N63" s="1045">
        <v>34680</v>
      </c>
      <c r="O63" s="1045">
        <v>26316</v>
      </c>
      <c r="P63" s="1045">
        <v>34884</v>
      </c>
      <c r="Q63" s="1045">
        <v>68952</v>
      </c>
      <c r="R63" s="1045">
        <v>103836</v>
      </c>
      <c r="S63" s="1045">
        <v>1224</v>
      </c>
      <c r="T63" s="1045">
        <v>1224</v>
      </c>
      <c r="U63" s="1045">
        <v>1224</v>
      </c>
      <c r="V63" s="1045">
        <v>1020</v>
      </c>
      <c r="W63" s="1045">
        <v>1020</v>
      </c>
      <c r="X63" s="1045">
        <v>1020</v>
      </c>
      <c r="Y63" s="1045">
        <v>1020</v>
      </c>
      <c r="Z63" s="1045">
        <v>1020</v>
      </c>
      <c r="AA63" s="1045">
        <v>1224</v>
      </c>
      <c r="AB63" s="1045">
        <v>816</v>
      </c>
      <c r="AC63" s="1045">
        <v>816</v>
      </c>
      <c r="AD63" s="1045">
        <v>816</v>
      </c>
      <c r="AE63" s="1045">
        <v>816</v>
      </c>
      <c r="AF63" s="1045">
        <v>1224</v>
      </c>
      <c r="AG63" s="1045">
        <v>816</v>
      </c>
      <c r="AH63" s="1045">
        <v>816</v>
      </c>
      <c r="AI63" s="1045">
        <v>1020</v>
      </c>
      <c r="AJ63" s="1045">
        <v>8364</v>
      </c>
    </row>
    <row r="64" spans="1:36" s="1051" customFormat="1">
      <c r="A64" s="1060"/>
      <c r="B64" s="1316"/>
      <c r="C64" s="1306"/>
      <c r="D64" s="1302"/>
      <c r="E64" s="1063"/>
      <c r="F64" s="1064">
        <v>398820</v>
      </c>
      <c r="G64" s="1045">
        <v>0</v>
      </c>
      <c r="H64" s="1045">
        <v>0</v>
      </c>
      <c r="I64" s="1045">
        <v>0</v>
      </c>
      <c r="J64" s="1045">
        <v>816</v>
      </c>
      <c r="K64" s="1045">
        <v>816</v>
      </c>
      <c r="L64" s="1045">
        <v>17748</v>
      </c>
      <c r="M64" s="1045">
        <v>85272</v>
      </c>
      <c r="N64" s="1045">
        <v>34680</v>
      </c>
      <c r="O64" s="1045">
        <v>26316</v>
      </c>
      <c r="P64" s="1045">
        <v>34884</v>
      </c>
      <c r="Q64" s="1045">
        <v>68952</v>
      </c>
      <c r="R64" s="1045">
        <v>103836</v>
      </c>
      <c r="S64" s="1045">
        <v>1224</v>
      </c>
      <c r="T64" s="1045">
        <v>1224</v>
      </c>
      <c r="U64" s="1045">
        <v>1224</v>
      </c>
      <c r="V64" s="1045">
        <v>1020</v>
      </c>
      <c r="W64" s="1045">
        <v>1020</v>
      </c>
      <c r="X64" s="1045">
        <v>1020</v>
      </c>
      <c r="Y64" s="1045">
        <v>1020</v>
      </c>
      <c r="Z64" s="1045">
        <v>1020</v>
      </c>
      <c r="AA64" s="1045">
        <v>1224</v>
      </c>
      <c r="AB64" s="1045">
        <v>816</v>
      </c>
      <c r="AC64" s="1045">
        <v>816</v>
      </c>
      <c r="AD64" s="1045">
        <v>816</v>
      </c>
      <c r="AE64" s="1045">
        <v>816</v>
      </c>
      <c r="AF64" s="1045">
        <v>1224</v>
      </c>
      <c r="AG64" s="1045">
        <v>816</v>
      </c>
      <c r="AH64" s="1045">
        <v>816</v>
      </c>
      <c r="AI64" s="1045">
        <v>1020</v>
      </c>
      <c r="AJ64" s="1045">
        <v>8364</v>
      </c>
    </row>
    <row r="65" spans="1:36" s="1046" customFormat="1" ht="22.5" customHeight="1">
      <c r="A65" s="1060"/>
      <c r="B65" s="1315" t="s">
        <v>555</v>
      </c>
      <c r="C65" s="1305">
        <v>19943</v>
      </c>
      <c r="D65" s="1301" t="s">
        <v>254</v>
      </c>
      <c r="E65" s="1061">
        <v>305</v>
      </c>
      <c r="F65" s="1062">
        <v>6082614.9971177327</v>
      </c>
      <c r="G65" s="1045">
        <v>37879.125589369905</v>
      </c>
      <c r="H65" s="1045">
        <v>571.94869673148537</v>
      </c>
      <c r="I65" s="1045">
        <v>9420.8028316306008</v>
      </c>
      <c r="J65" s="1045">
        <v>0</v>
      </c>
      <c r="K65" s="1045">
        <v>0</v>
      </c>
      <c r="L65" s="1045">
        <v>0</v>
      </c>
      <c r="M65" s="1045">
        <v>1211155</v>
      </c>
      <c r="N65" s="1045">
        <v>158905</v>
      </c>
      <c r="O65" s="1045">
        <v>43310</v>
      </c>
      <c r="P65" s="1045">
        <v>493795</v>
      </c>
      <c r="Q65" s="1045">
        <v>2236870</v>
      </c>
      <c r="R65" s="1045">
        <v>1602165</v>
      </c>
      <c r="S65" s="1045">
        <v>19825</v>
      </c>
      <c r="T65" s="1045">
        <v>19825</v>
      </c>
      <c r="U65" s="1045">
        <v>19825</v>
      </c>
      <c r="V65" s="1045">
        <v>16165</v>
      </c>
      <c r="W65" s="1045">
        <v>16165</v>
      </c>
      <c r="X65" s="1045">
        <v>16165</v>
      </c>
      <c r="Y65" s="1045">
        <v>16165</v>
      </c>
      <c r="Z65" s="1045">
        <v>16165</v>
      </c>
      <c r="AA65" s="1045">
        <v>20130</v>
      </c>
      <c r="AB65" s="1045">
        <v>13725</v>
      </c>
      <c r="AC65" s="1045">
        <v>13725</v>
      </c>
      <c r="AD65" s="1045">
        <v>13725</v>
      </c>
      <c r="AE65" s="1045">
        <v>13725</v>
      </c>
      <c r="AF65" s="1045">
        <v>20130</v>
      </c>
      <c r="AG65" s="1045">
        <v>14335</v>
      </c>
      <c r="AH65" s="1045">
        <v>14945</v>
      </c>
      <c r="AI65" s="1045">
        <v>15555</v>
      </c>
      <c r="AJ65" s="1045">
        <v>8248.1200000000008</v>
      </c>
    </row>
    <row r="66" spans="1:36" s="1051" customFormat="1">
      <c r="A66" s="1060"/>
      <c r="B66" s="1316"/>
      <c r="C66" s="1306"/>
      <c r="D66" s="1302"/>
      <c r="E66" s="1063"/>
      <c r="F66" s="1064">
        <v>6247639.1971177319</v>
      </c>
      <c r="G66" s="1045">
        <v>37879.125589369905</v>
      </c>
      <c r="H66" s="1045">
        <v>571.94869673148537</v>
      </c>
      <c r="I66" s="1045">
        <v>9420.8028316306008</v>
      </c>
      <c r="J66" s="1045">
        <v>0</v>
      </c>
      <c r="K66" s="1045">
        <v>0</v>
      </c>
      <c r="L66" s="1132">
        <v>165024.20000000001</v>
      </c>
      <c r="M66" s="1045">
        <v>1211155</v>
      </c>
      <c r="N66" s="1045">
        <v>158905</v>
      </c>
      <c r="O66" s="1045">
        <v>43310</v>
      </c>
      <c r="P66" s="1045">
        <v>493795</v>
      </c>
      <c r="Q66" s="1045">
        <v>2236870</v>
      </c>
      <c r="R66" s="1045">
        <v>1602165</v>
      </c>
      <c r="S66" s="1045">
        <v>19825</v>
      </c>
      <c r="T66" s="1045">
        <v>19825</v>
      </c>
      <c r="U66" s="1045">
        <v>19825</v>
      </c>
      <c r="V66" s="1045">
        <v>16165</v>
      </c>
      <c r="W66" s="1045">
        <v>16165</v>
      </c>
      <c r="X66" s="1045">
        <v>16165</v>
      </c>
      <c r="Y66" s="1045">
        <v>16165</v>
      </c>
      <c r="Z66" s="1045">
        <v>16165</v>
      </c>
      <c r="AA66" s="1045">
        <v>20130</v>
      </c>
      <c r="AB66" s="1045">
        <v>13725</v>
      </c>
      <c r="AC66" s="1045">
        <v>13725</v>
      </c>
      <c r="AD66" s="1045">
        <v>13725</v>
      </c>
      <c r="AE66" s="1045">
        <v>13725</v>
      </c>
      <c r="AF66" s="1045">
        <v>20130</v>
      </c>
      <c r="AG66" s="1045">
        <v>14335</v>
      </c>
      <c r="AH66" s="1045">
        <v>14945</v>
      </c>
      <c r="AI66" s="1045">
        <v>15555</v>
      </c>
      <c r="AJ66" s="1045">
        <v>8248.1200000000008</v>
      </c>
    </row>
    <row r="67" spans="1:36" s="1046" customFormat="1">
      <c r="A67" s="1060"/>
      <c r="B67" s="1315" t="s">
        <v>406</v>
      </c>
      <c r="C67" s="1305">
        <v>9491</v>
      </c>
      <c r="D67" s="1301" t="s">
        <v>254</v>
      </c>
      <c r="E67" s="1061">
        <v>357.69986790911287</v>
      </c>
      <c r="F67" s="1062">
        <v>3394929.4533945983</v>
      </c>
      <c r="G67" s="1045">
        <v>0</v>
      </c>
      <c r="H67" s="1045">
        <v>0</v>
      </c>
      <c r="I67" s="1132">
        <v>106585.27069423215</v>
      </c>
      <c r="J67" s="1132">
        <v>303372.4119710768</v>
      </c>
      <c r="K67" s="1045">
        <v>606658.97597385547</v>
      </c>
      <c r="L67" s="1045">
        <v>412785.64756711625</v>
      </c>
      <c r="M67" s="1045">
        <v>0</v>
      </c>
      <c r="N67" s="1045">
        <v>704489.8898469978</v>
      </c>
      <c r="O67" s="1045">
        <v>1261037.2573413199</v>
      </c>
      <c r="P67" s="1045">
        <v>0</v>
      </c>
      <c r="Q67" s="1045">
        <v>0</v>
      </c>
      <c r="R67" s="1045">
        <v>0</v>
      </c>
      <c r="S67" s="1045">
        <v>0</v>
      </c>
      <c r="T67" s="1045">
        <v>0</v>
      </c>
      <c r="U67" s="1045">
        <v>0</v>
      </c>
      <c r="V67" s="1045">
        <v>0</v>
      </c>
      <c r="W67" s="1045">
        <v>0</v>
      </c>
      <c r="X67" s="1045">
        <v>0</v>
      </c>
      <c r="Y67" s="1045">
        <v>0</v>
      </c>
      <c r="Z67" s="1045">
        <v>0</v>
      </c>
      <c r="AA67" s="1045">
        <v>0</v>
      </c>
      <c r="AB67" s="1045">
        <v>0</v>
      </c>
      <c r="AC67" s="1045">
        <v>0</v>
      </c>
      <c r="AD67" s="1045">
        <v>0</v>
      </c>
      <c r="AE67" s="1045">
        <v>0</v>
      </c>
      <c r="AF67" s="1045">
        <v>0</v>
      </c>
      <c r="AG67" s="1045">
        <v>0</v>
      </c>
      <c r="AH67" s="1045">
        <v>0</v>
      </c>
      <c r="AI67" s="1045">
        <v>0</v>
      </c>
      <c r="AJ67" s="1045">
        <v>0</v>
      </c>
    </row>
    <row r="68" spans="1:36" s="1051" customFormat="1">
      <c r="A68" s="1060"/>
      <c r="B68" s="1316"/>
      <c r="C68" s="1306"/>
      <c r="D68" s="1302"/>
      <c r="E68" s="1063"/>
      <c r="F68" s="1064">
        <v>3394929.4533945983</v>
      </c>
      <c r="G68" s="1045">
        <v>0</v>
      </c>
      <c r="H68" s="1045">
        <v>0</v>
      </c>
      <c r="I68" s="1045"/>
      <c r="J68" s="1045"/>
      <c r="K68" s="1132">
        <v>1016616.6586391644</v>
      </c>
      <c r="L68" s="1045">
        <v>412785.64756711625</v>
      </c>
      <c r="M68" s="1045">
        <v>0</v>
      </c>
      <c r="N68" s="1045">
        <v>704489.8898469978</v>
      </c>
      <c r="O68" s="1045">
        <v>1261037.2573413199</v>
      </c>
      <c r="P68" s="1045">
        <v>0</v>
      </c>
      <c r="Q68" s="1045">
        <v>0</v>
      </c>
      <c r="R68" s="1045">
        <v>0</v>
      </c>
      <c r="S68" s="1045">
        <v>0</v>
      </c>
      <c r="T68" s="1045">
        <v>0</v>
      </c>
      <c r="U68" s="1045">
        <v>0</v>
      </c>
      <c r="V68" s="1045">
        <v>0</v>
      </c>
      <c r="W68" s="1045">
        <v>0</v>
      </c>
      <c r="X68" s="1045">
        <v>0</v>
      </c>
      <c r="Y68" s="1045">
        <v>0</v>
      </c>
      <c r="Z68" s="1045">
        <v>0</v>
      </c>
      <c r="AA68" s="1045">
        <v>0</v>
      </c>
      <c r="AB68" s="1045">
        <v>0</v>
      </c>
      <c r="AC68" s="1045">
        <v>0</v>
      </c>
      <c r="AD68" s="1045">
        <v>0</v>
      </c>
      <c r="AE68" s="1045">
        <v>0</v>
      </c>
      <c r="AF68" s="1045">
        <v>0</v>
      </c>
      <c r="AG68" s="1045">
        <v>0</v>
      </c>
      <c r="AH68" s="1045">
        <v>0</v>
      </c>
      <c r="AI68" s="1045">
        <v>0</v>
      </c>
      <c r="AJ68" s="1045">
        <v>0</v>
      </c>
    </row>
    <row r="69" spans="1:36" s="1046" customFormat="1" ht="33.75" customHeight="1">
      <c r="A69" s="1060"/>
      <c r="B69" s="1315" t="s">
        <v>556</v>
      </c>
      <c r="C69" s="1305">
        <v>1</v>
      </c>
      <c r="D69" s="1301" t="s">
        <v>249</v>
      </c>
      <c r="E69" s="1061">
        <v>1353127.5003190441</v>
      </c>
      <c r="F69" s="1062">
        <v>1353127.5003190441</v>
      </c>
      <c r="G69" s="1045">
        <v>0</v>
      </c>
      <c r="H69" s="1045">
        <v>0</v>
      </c>
      <c r="I69" s="1045">
        <v>0</v>
      </c>
      <c r="J69" s="1045">
        <v>0</v>
      </c>
      <c r="K69" s="1045">
        <v>369034.77281428478</v>
      </c>
      <c r="L69" s="1045">
        <v>0</v>
      </c>
      <c r="M69" s="1045">
        <v>369034.77281428478</v>
      </c>
      <c r="N69" s="1045">
        <v>246023.18187618983</v>
      </c>
      <c r="O69" s="1045">
        <v>246023.18187618983</v>
      </c>
      <c r="P69" s="1045">
        <v>123011.59093809492</v>
      </c>
      <c r="Q69" s="1045">
        <v>0</v>
      </c>
      <c r="R69" s="1045">
        <v>0</v>
      </c>
      <c r="S69" s="1045">
        <v>0</v>
      </c>
      <c r="T69" s="1045">
        <v>0</v>
      </c>
      <c r="U69" s="1045">
        <v>0</v>
      </c>
      <c r="V69" s="1045">
        <v>0</v>
      </c>
      <c r="W69" s="1045">
        <v>0</v>
      </c>
      <c r="X69" s="1045">
        <v>0</v>
      </c>
      <c r="Y69" s="1045">
        <v>0</v>
      </c>
      <c r="Z69" s="1045">
        <v>0</v>
      </c>
      <c r="AA69" s="1045">
        <v>0</v>
      </c>
      <c r="AB69" s="1045">
        <v>0</v>
      </c>
      <c r="AC69" s="1045">
        <v>0</v>
      </c>
      <c r="AD69" s="1045">
        <v>0</v>
      </c>
      <c r="AE69" s="1045">
        <v>0</v>
      </c>
      <c r="AF69" s="1045">
        <v>0</v>
      </c>
      <c r="AG69" s="1045">
        <v>0</v>
      </c>
      <c r="AH69" s="1045">
        <v>0</v>
      </c>
      <c r="AI69" s="1045">
        <v>0</v>
      </c>
      <c r="AJ69" s="1045">
        <v>0</v>
      </c>
    </row>
    <row r="70" spans="1:36" s="1051" customFormat="1">
      <c r="A70" s="1060"/>
      <c r="B70" s="1316"/>
      <c r="C70" s="1306"/>
      <c r="D70" s="1302"/>
      <c r="E70" s="1063"/>
      <c r="F70" s="1064">
        <v>1353127.5003190441</v>
      </c>
      <c r="G70" s="1045">
        <v>0</v>
      </c>
      <c r="H70" s="1045">
        <v>0</v>
      </c>
      <c r="I70" s="1045">
        <v>0</v>
      </c>
      <c r="J70" s="1045">
        <v>0</v>
      </c>
      <c r="K70" s="1045">
        <v>369034.77281428478</v>
      </c>
      <c r="L70" s="1045">
        <v>0</v>
      </c>
      <c r="M70" s="1045">
        <v>369034.77281428478</v>
      </c>
      <c r="N70" s="1045">
        <v>246023.18187618983</v>
      </c>
      <c r="O70" s="1045">
        <v>246023.18187618983</v>
      </c>
      <c r="P70" s="1045">
        <v>123011.59093809492</v>
      </c>
      <c r="Q70" s="1045">
        <v>0</v>
      </c>
      <c r="R70" s="1045">
        <v>0</v>
      </c>
      <c r="S70" s="1045">
        <v>0</v>
      </c>
      <c r="T70" s="1045">
        <v>0</v>
      </c>
      <c r="U70" s="1045">
        <v>0</v>
      </c>
      <c r="V70" s="1045">
        <v>0</v>
      </c>
      <c r="W70" s="1045">
        <v>0</v>
      </c>
      <c r="X70" s="1045">
        <v>0</v>
      </c>
      <c r="Y70" s="1045">
        <v>0</v>
      </c>
      <c r="Z70" s="1045">
        <v>0</v>
      </c>
      <c r="AA70" s="1045">
        <v>0</v>
      </c>
      <c r="AB70" s="1045">
        <v>0</v>
      </c>
      <c r="AC70" s="1045">
        <v>0</v>
      </c>
      <c r="AD70" s="1045">
        <v>0</v>
      </c>
      <c r="AE70" s="1045">
        <v>0</v>
      </c>
      <c r="AF70" s="1045">
        <v>0</v>
      </c>
      <c r="AG70" s="1045">
        <v>0</v>
      </c>
      <c r="AH70" s="1045">
        <v>0</v>
      </c>
      <c r="AI70" s="1045">
        <v>0</v>
      </c>
      <c r="AJ70" s="1045">
        <v>0</v>
      </c>
    </row>
    <row r="71" spans="1:36" s="1046" customFormat="1" ht="33.75" customHeight="1">
      <c r="A71" s="1060"/>
      <c r="B71" s="1315" t="s">
        <v>407</v>
      </c>
      <c r="C71" s="1305">
        <v>1</v>
      </c>
      <c r="D71" s="1301" t="s">
        <v>249</v>
      </c>
      <c r="E71" s="1061">
        <v>3366998.7545716399</v>
      </c>
      <c r="F71" s="1062">
        <v>3366998.75</v>
      </c>
      <c r="G71" s="1045">
        <v>0</v>
      </c>
      <c r="H71" s="1045">
        <v>0</v>
      </c>
      <c r="I71" s="1045">
        <v>0</v>
      </c>
      <c r="J71" s="1132">
        <v>3366998.75</v>
      </c>
      <c r="K71" s="1045">
        <v>0</v>
      </c>
      <c r="L71" s="1045">
        <v>0</v>
      </c>
      <c r="M71" s="1045">
        <v>0</v>
      </c>
      <c r="N71" s="1045">
        <v>0</v>
      </c>
      <c r="O71" s="1045">
        <v>0</v>
      </c>
      <c r="P71" s="1045">
        <v>0</v>
      </c>
      <c r="Q71" s="1045">
        <v>0</v>
      </c>
      <c r="R71" s="1045">
        <v>0</v>
      </c>
      <c r="S71" s="1045">
        <v>0</v>
      </c>
      <c r="T71" s="1045">
        <v>0</v>
      </c>
      <c r="U71" s="1045">
        <v>0</v>
      </c>
      <c r="V71" s="1045">
        <v>0</v>
      </c>
      <c r="W71" s="1045">
        <v>0</v>
      </c>
      <c r="X71" s="1045">
        <v>0</v>
      </c>
      <c r="Y71" s="1045">
        <v>0</v>
      </c>
      <c r="Z71" s="1045">
        <v>0</v>
      </c>
      <c r="AA71" s="1045">
        <v>0</v>
      </c>
      <c r="AB71" s="1045">
        <v>0</v>
      </c>
      <c r="AC71" s="1045">
        <v>0</v>
      </c>
      <c r="AD71" s="1045">
        <v>0</v>
      </c>
      <c r="AE71" s="1045">
        <v>0</v>
      </c>
      <c r="AF71" s="1045">
        <v>0</v>
      </c>
      <c r="AG71" s="1045">
        <v>0</v>
      </c>
      <c r="AH71" s="1045">
        <v>0</v>
      </c>
      <c r="AI71" s="1045">
        <v>0</v>
      </c>
      <c r="AJ71" s="1045">
        <v>0</v>
      </c>
    </row>
    <row r="72" spans="1:36" s="1051" customFormat="1">
      <c r="A72" s="1060"/>
      <c r="B72" s="1316"/>
      <c r="C72" s="1306"/>
      <c r="D72" s="1302"/>
      <c r="E72" s="1063"/>
      <c r="F72" s="1064">
        <v>3366998.75</v>
      </c>
      <c r="G72" s="1045">
        <v>0</v>
      </c>
      <c r="H72" s="1045">
        <v>0</v>
      </c>
      <c r="I72" s="1045">
        <v>0</v>
      </c>
      <c r="J72" s="1045">
        <v>0</v>
      </c>
      <c r="K72" s="1132">
        <v>3366998.75</v>
      </c>
      <c r="L72" s="1045">
        <v>0</v>
      </c>
      <c r="M72" s="1045">
        <v>0</v>
      </c>
      <c r="N72" s="1045">
        <v>0</v>
      </c>
      <c r="O72" s="1045">
        <v>0</v>
      </c>
      <c r="P72" s="1045">
        <v>0</v>
      </c>
      <c r="Q72" s="1045">
        <v>0</v>
      </c>
      <c r="R72" s="1045">
        <v>0</v>
      </c>
      <c r="S72" s="1045">
        <v>0</v>
      </c>
      <c r="T72" s="1045">
        <v>0</v>
      </c>
      <c r="U72" s="1045">
        <v>0</v>
      </c>
      <c r="V72" s="1045">
        <v>0</v>
      </c>
      <c r="W72" s="1045">
        <v>0</v>
      </c>
      <c r="X72" s="1045">
        <v>0</v>
      </c>
      <c r="Y72" s="1045">
        <v>0</v>
      </c>
      <c r="Z72" s="1045">
        <v>0</v>
      </c>
      <c r="AA72" s="1045">
        <v>0</v>
      </c>
      <c r="AB72" s="1045">
        <v>0</v>
      </c>
      <c r="AC72" s="1045">
        <v>0</v>
      </c>
      <c r="AD72" s="1045">
        <v>0</v>
      </c>
      <c r="AE72" s="1045">
        <v>0</v>
      </c>
      <c r="AF72" s="1045">
        <v>0</v>
      </c>
      <c r="AG72" s="1045">
        <v>0</v>
      </c>
      <c r="AH72" s="1045">
        <v>0</v>
      </c>
      <c r="AI72" s="1045">
        <v>0</v>
      </c>
      <c r="AJ72" s="1045">
        <v>0</v>
      </c>
    </row>
    <row r="73" spans="1:36" s="1046" customFormat="1" ht="34.5" customHeight="1">
      <c r="A73" s="1060"/>
      <c r="B73" s="1315" t="s">
        <v>557</v>
      </c>
      <c r="C73" s="1305">
        <v>6</v>
      </c>
      <c r="D73" s="1319" t="s">
        <v>142</v>
      </c>
      <c r="E73" s="1061">
        <v>299835.72586952901</v>
      </c>
      <c r="F73" s="1062">
        <v>1499178.6293476452</v>
      </c>
      <c r="G73" s="1045">
        <v>0</v>
      </c>
      <c r="H73" s="1045">
        <v>0</v>
      </c>
      <c r="I73" s="1045">
        <v>0</v>
      </c>
      <c r="J73" s="1045">
        <v>0</v>
      </c>
      <c r="K73" s="1045">
        <v>0</v>
      </c>
      <c r="L73" s="1045">
        <v>0</v>
      </c>
      <c r="M73" s="1045">
        <v>0</v>
      </c>
      <c r="N73" s="1045">
        <v>0</v>
      </c>
      <c r="O73" s="1045">
        <v>299835.72586952901</v>
      </c>
      <c r="P73" s="1045">
        <v>299835.72586952901</v>
      </c>
      <c r="Q73" s="1045">
        <v>299835.72586952901</v>
      </c>
      <c r="R73" s="1045">
        <v>599671.45173905801</v>
      </c>
      <c r="S73" s="1045">
        <v>0</v>
      </c>
      <c r="T73" s="1045">
        <v>0</v>
      </c>
      <c r="U73" s="1045">
        <v>0</v>
      </c>
      <c r="V73" s="1045">
        <v>0</v>
      </c>
      <c r="W73" s="1045">
        <v>0</v>
      </c>
      <c r="X73" s="1045">
        <v>0</v>
      </c>
      <c r="Y73" s="1045">
        <v>0</v>
      </c>
      <c r="Z73" s="1045">
        <v>0</v>
      </c>
      <c r="AA73" s="1045">
        <v>0</v>
      </c>
      <c r="AB73" s="1045">
        <v>0</v>
      </c>
      <c r="AC73" s="1045">
        <v>0</v>
      </c>
      <c r="AD73" s="1045">
        <v>0</v>
      </c>
      <c r="AE73" s="1045">
        <v>0</v>
      </c>
      <c r="AF73" s="1045">
        <v>0</v>
      </c>
      <c r="AG73" s="1045">
        <v>0</v>
      </c>
      <c r="AH73" s="1045">
        <v>0</v>
      </c>
      <c r="AI73" s="1045">
        <v>0</v>
      </c>
      <c r="AJ73" s="1045">
        <v>0</v>
      </c>
    </row>
    <row r="74" spans="1:36" s="1051" customFormat="1">
      <c r="A74" s="1060"/>
      <c r="B74" s="1316"/>
      <c r="C74" s="1306"/>
      <c r="D74" s="1320"/>
      <c r="E74" s="1063"/>
      <c r="F74" s="1064">
        <v>1499178.6293476452</v>
      </c>
      <c r="G74" s="1045">
        <v>0</v>
      </c>
      <c r="H74" s="1045">
        <v>0</v>
      </c>
      <c r="I74" s="1045">
        <v>0</v>
      </c>
      <c r="J74" s="1045">
        <v>0</v>
      </c>
      <c r="K74" s="1045">
        <v>0</v>
      </c>
      <c r="L74" s="1045">
        <v>0</v>
      </c>
      <c r="M74" s="1045">
        <v>0</v>
      </c>
      <c r="N74" s="1045">
        <v>0</v>
      </c>
      <c r="O74" s="1045">
        <v>299835.72586952901</v>
      </c>
      <c r="P74" s="1045">
        <v>299835.72586952901</v>
      </c>
      <c r="Q74" s="1045">
        <v>299835.72586952901</v>
      </c>
      <c r="R74" s="1045">
        <v>599671.45173905801</v>
      </c>
      <c r="S74" s="1045">
        <v>0</v>
      </c>
      <c r="T74" s="1045">
        <v>0</v>
      </c>
      <c r="U74" s="1045">
        <v>0</v>
      </c>
      <c r="V74" s="1045">
        <v>0</v>
      </c>
      <c r="W74" s="1045">
        <v>0</v>
      </c>
      <c r="X74" s="1045">
        <v>0</v>
      </c>
      <c r="Y74" s="1045">
        <v>0</v>
      </c>
      <c r="Z74" s="1045">
        <v>0</v>
      </c>
      <c r="AA74" s="1045">
        <v>0</v>
      </c>
      <c r="AB74" s="1045">
        <v>0</v>
      </c>
      <c r="AC74" s="1045">
        <v>0</v>
      </c>
      <c r="AD74" s="1045">
        <v>0</v>
      </c>
      <c r="AE74" s="1045">
        <v>0</v>
      </c>
      <c r="AF74" s="1045">
        <v>0</v>
      </c>
      <c r="AG74" s="1045">
        <v>0</v>
      </c>
      <c r="AH74" s="1045">
        <v>0</v>
      </c>
      <c r="AI74" s="1045">
        <v>0</v>
      </c>
      <c r="AJ74" s="1045">
        <v>0</v>
      </c>
    </row>
    <row r="75" spans="1:36" hidden="1">
      <c r="D75" s="275"/>
      <c r="E75" s="508"/>
      <c r="F75" s="508"/>
      <c r="G75" s="1045"/>
      <c r="H75" s="1045"/>
      <c r="I75" s="1045"/>
      <c r="J75" s="1045"/>
      <c r="K75" s="1045"/>
      <c r="L75" s="1045"/>
      <c r="M75" s="1045"/>
      <c r="N75" s="1045"/>
      <c r="O75" s="1045"/>
      <c r="P75" s="1045"/>
      <c r="Q75" s="1045"/>
      <c r="R75" s="1045"/>
      <c r="S75" s="1045"/>
      <c r="T75" s="1045"/>
      <c r="U75" s="1045"/>
      <c r="V75" s="1045"/>
      <c r="W75" s="1045"/>
      <c r="X75" s="1045"/>
      <c r="Y75" s="1045"/>
      <c r="Z75" s="1045"/>
      <c r="AA75" s="1045"/>
      <c r="AB75" s="1045"/>
      <c r="AC75" s="1045"/>
      <c r="AD75" s="1045"/>
      <c r="AE75" s="1045"/>
      <c r="AF75" s="1045"/>
      <c r="AG75" s="1045"/>
      <c r="AH75" s="1045"/>
      <c r="AI75" s="1045"/>
      <c r="AJ75" s="1045"/>
    </row>
    <row r="76" spans="1:36" s="1046" customFormat="1">
      <c r="A76" s="1307">
        <v>3</v>
      </c>
      <c r="B76" s="1311" t="s">
        <v>390</v>
      </c>
      <c r="C76" s="1042"/>
      <c r="D76" s="1075"/>
      <c r="E76" s="1076"/>
      <c r="F76" s="1083">
        <v>862632.65953346319</v>
      </c>
      <c r="G76" s="1045">
        <v>87023.583369052707</v>
      </c>
      <c r="H76" s="1045">
        <v>43673.537443111301</v>
      </c>
      <c r="I76" s="1045">
        <v>85663.1968465932</v>
      </c>
      <c r="J76" s="1045">
        <v>396112.22884797322</v>
      </c>
      <c r="K76" s="1045">
        <v>6445.8877800595983</v>
      </c>
      <c r="L76" s="1045">
        <v>6445.8877800595983</v>
      </c>
      <c r="M76" s="1045">
        <v>6445.8877800595983</v>
      </c>
      <c r="N76" s="1045">
        <v>6445.8877800595983</v>
      </c>
      <c r="O76" s="1045">
        <v>6445.8877800595983</v>
      </c>
      <c r="P76" s="1045">
        <v>6445.8877800595983</v>
      </c>
      <c r="Q76" s="1045">
        <v>6445.8877800595983</v>
      </c>
      <c r="R76" s="1045">
        <v>6445.8877800595983</v>
      </c>
      <c r="S76" s="1045">
        <v>6445.8877800595983</v>
      </c>
      <c r="T76" s="1045">
        <v>6445.8877800595983</v>
      </c>
      <c r="U76" s="1045">
        <v>6445.8877800595983</v>
      </c>
      <c r="V76" s="1045">
        <v>6445.8877800595983</v>
      </c>
      <c r="W76" s="1045">
        <v>6445.8877800595983</v>
      </c>
      <c r="X76" s="1045">
        <v>6445.8877800595983</v>
      </c>
      <c r="Y76" s="1045">
        <v>6445.8877800595983</v>
      </c>
      <c r="Z76" s="1045">
        <v>6445.8877800595983</v>
      </c>
      <c r="AA76" s="1045">
        <v>6445.8877800595983</v>
      </c>
      <c r="AB76" s="1045">
        <v>6445.8877800595983</v>
      </c>
      <c r="AC76" s="1045">
        <v>6445.8877800595983</v>
      </c>
      <c r="AD76" s="1045">
        <v>6445.8877800595983</v>
      </c>
      <c r="AE76" s="1045">
        <v>6445.8877800595983</v>
      </c>
      <c r="AF76" s="1045">
        <v>6445.8877800595983</v>
      </c>
      <c r="AG76" s="1045">
        <v>6445.8877800595983</v>
      </c>
      <c r="AH76" s="1045">
        <v>6445.8877800595983</v>
      </c>
      <c r="AI76" s="1045">
        <v>6445.8877800595983</v>
      </c>
      <c r="AJ76" s="1045">
        <v>6445.8877800595983</v>
      </c>
    </row>
    <row r="77" spans="1:36" s="1051" customFormat="1">
      <c r="A77" s="1308"/>
      <c r="B77" s="1312"/>
      <c r="C77" s="1047"/>
      <c r="D77" s="1078"/>
      <c r="E77" s="1079"/>
      <c r="F77" s="1084">
        <v>862632.65953346319</v>
      </c>
      <c r="G77" s="1045">
        <v>87023.583369052707</v>
      </c>
      <c r="H77" s="1045">
        <v>43673.537443111301</v>
      </c>
      <c r="I77" s="1045">
        <v>85663.1968465932</v>
      </c>
      <c r="J77" s="1045">
        <v>478679.25959315657</v>
      </c>
      <c r="K77" s="1045">
        <v>6445.8877800595983</v>
      </c>
      <c r="L77" s="1045">
        <v>6445.8877800595983</v>
      </c>
      <c r="M77" s="1045">
        <v>6445.8877800595983</v>
      </c>
      <c r="N77" s="1045">
        <v>6445.8877800595983</v>
      </c>
      <c r="O77" s="1045">
        <v>6445.8877800595983</v>
      </c>
      <c r="P77" s="1045">
        <v>6445.8877800595983</v>
      </c>
      <c r="Q77" s="1045">
        <v>6445.8877800595983</v>
      </c>
      <c r="R77" s="1045">
        <v>6445.8877800595983</v>
      </c>
      <c r="S77" s="1045">
        <v>6445.8877800595983</v>
      </c>
      <c r="T77" s="1045">
        <v>6445.8877800595983</v>
      </c>
      <c r="U77" s="1045">
        <v>6445.8877800595983</v>
      </c>
      <c r="V77" s="1045">
        <v>6445.8877800595983</v>
      </c>
      <c r="W77" s="1045">
        <v>6445.8877800595983</v>
      </c>
      <c r="X77" s="1045">
        <v>6445.8877800595983</v>
      </c>
      <c r="Y77" s="1045">
        <v>6445.8877800595983</v>
      </c>
      <c r="Z77" s="1045">
        <v>6445.8877800595983</v>
      </c>
      <c r="AA77" s="1045">
        <v>6445.8877800595983</v>
      </c>
      <c r="AB77" s="1045">
        <v>6445.8877800595983</v>
      </c>
      <c r="AC77" s="1045">
        <v>6445.8877800595983</v>
      </c>
      <c r="AD77" s="1045">
        <v>6445.8877800595983</v>
      </c>
      <c r="AE77" s="1045">
        <v>6445.8877800595983</v>
      </c>
      <c r="AF77" s="1045">
        <v>6445.8877800595983</v>
      </c>
      <c r="AG77" s="1045">
        <v>6445.8877800595983</v>
      </c>
      <c r="AH77" s="1045">
        <v>6445.8877800595983</v>
      </c>
      <c r="AI77" s="1045">
        <v>6445.8877800595983</v>
      </c>
      <c r="AJ77" s="1045">
        <v>6445.8877800595983</v>
      </c>
    </row>
    <row r="78" spans="1:36" s="1085" customFormat="1" ht="15">
      <c r="A78" s="1309" t="s">
        <v>158</v>
      </c>
      <c r="B78" s="1311" t="s">
        <v>159</v>
      </c>
      <c r="C78" s="1052"/>
      <c r="D78" s="1065"/>
      <c r="E78" s="1066"/>
      <c r="F78" s="1083">
        <v>862632.65953346319</v>
      </c>
      <c r="G78" s="1045">
        <v>87023.583369052707</v>
      </c>
      <c r="H78" s="1045">
        <v>43673.537443111301</v>
      </c>
      <c r="I78" s="1045">
        <v>85663.1968465932</v>
      </c>
      <c r="J78" s="1045">
        <v>478679.25959315657</v>
      </c>
      <c r="K78" s="1045">
        <v>6445.8877800595983</v>
      </c>
      <c r="L78" s="1045">
        <v>6445.8877800595983</v>
      </c>
      <c r="M78" s="1045">
        <v>6445.8877800595983</v>
      </c>
      <c r="N78" s="1045">
        <v>6445.8877800595983</v>
      </c>
      <c r="O78" s="1045">
        <v>6445.8877800595983</v>
      </c>
      <c r="P78" s="1045">
        <v>6445.8877800595983</v>
      </c>
      <c r="Q78" s="1045">
        <v>6445.8877800595983</v>
      </c>
      <c r="R78" s="1045">
        <v>6445.8877800595983</v>
      </c>
      <c r="S78" s="1045">
        <v>6445.8877800595983</v>
      </c>
      <c r="T78" s="1045">
        <v>6445.8877800595983</v>
      </c>
      <c r="U78" s="1045">
        <v>6445.8877800595983</v>
      </c>
      <c r="V78" s="1045">
        <v>6445.8877800595983</v>
      </c>
      <c r="W78" s="1045">
        <v>6445.8877800595983</v>
      </c>
      <c r="X78" s="1045">
        <v>6445.8877800595983</v>
      </c>
      <c r="Y78" s="1045">
        <v>6445.8877800595983</v>
      </c>
      <c r="Z78" s="1045">
        <v>6445.8877800595983</v>
      </c>
      <c r="AA78" s="1045">
        <v>6445.8877800595983</v>
      </c>
      <c r="AB78" s="1045">
        <v>6445.8877800595983</v>
      </c>
      <c r="AC78" s="1045">
        <v>6445.8877800595983</v>
      </c>
      <c r="AD78" s="1045">
        <v>6445.8877800595983</v>
      </c>
      <c r="AE78" s="1045">
        <v>6445.8877800595983</v>
      </c>
      <c r="AF78" s="1045">
        <v>6445.8877800595983</v>
      </c>
      <c r="AG78" s="1045">
        <v>6445.8877800595983</v>
      </c>
      <c r="AH78" s="1045">
        <v>6445.8877800595983</v>
      </c>
      <c r="AI78" s="1045">
        <v>6445.8877800595983</v>
      </c>
      <c r="AJ78" s="1045">
        <v>6445.8877800595983</v>
      </c>
    </row>
    <row r="79" spans="1:36" s="1086" customFormat="1" ht="15">
      <c r="A79" s="1310"/>
      <c r="B79" s="1312"/>
      <c r="C79" s="1056"/>
      <c r="D79" s="1067"/>
      <c r="E79" s="1068"/>
      <c r="F79" s="1084">
        <v>862632.65953346319</v>
      </c>
      <c r="G79" s="1045">
        <v>87023.583369052707</v>
      </c>
      <c r="H79" s="1045">
        <v>43673.537443111301</v>
      </c>
      <c r="I79" s="1045">
        <v>85663.1968465932</v>
      </c>
      <c r="J79" s="1045">
        <v>478679.25959315657</v>
      </c>
      <c r="K79" s="1045">
        <v>6445.8877800595983</v>
      </c>
      <c r="L79" s="1045">
        <v>6445.8877800595983</v>
      </c>
      <c r="M79" s="1045">
        <v>6445.8877800595983</v>
      </c>
      <c r="N79" s="1045">
        <v>6445.8877800595983</v>
      </c>
      <c r="O79" s="1045">
        <v>6445.8877800595983</v>
      </c>
      <c r="P79" s="1045">
        <v>6445.8877800595983</v>
      </c>
      <c r="Q79" s="1045">
        <v>6445.8877800595983</v>
      </c>
      <c r="R79" s="1045">
        <v>6445.8877800595983</v>
      </c>
      <c r="S79" s="1045">
        <v>6445.8877800595983</v>
      </c>
      <c r="T79" s="1045">
        <v>6445.8877800595983</v>
      </c>
      <c r="U79" s="1045">
        <v>6445.8877800595983</v>
      </c>
      <c r="V79" s="1045">
        <v>6445.8877800595983</v>
      </c>
      <c r="W79" s="1045">
        <v>6445.8877800595983</v>
      </c>
      <c r="X79" s="1045">
        <v>6445.8877800595983</v>
      </c>
      <c r="Y79" s="1045">
        <v>6445.8877800595983</v>
      </c>
      <c r="Z79" s="1045">
        <v>6445.8877800595983</v>
      </c>
      <c r="AA79" s="1045">
        <v>6445.8877800595983</v>
      </c>
      <c r="AB79" s="1045">
        <v>6445.8877800595983</v>
      </c>
      <c r="AC79" s="1045">
        <v>6445.8877800595983</v>
      </c>
      <c r="AD79" s="1045">
        <v>6445.8877800595983</v>
      </c>
      <c r="AE79" s="1045">
        <v>6445.8877800595983</v>
      </c>
      <c r="AF79" s="1045">
        <v>6445.8877800595983</v>
      </c>
      <c r="AG79" s="1045">
        <v>6445.8877800595983</v>
      </c>
      <c r="AH79" s="1045">
        <v>6445.8877800595983</v>
      </c>
      <c r="AI79" s="1045">
        <v>6445.8877800595983</v>
      </c>
      <c r="AJ79" s="1045">
        <v>6445.8877800595983</v>
      </c>
    </row>
    <row r="80" spans="1:36" s="1046" customFormat="1">
      <c r="A80" s="1060"/>
      <c r="B80" s="1315" t="s">
        <v>270</v>
      </c>
      <c r="C80" s="1305">
        <v>6200</v>
      </c>
      <c r="D80" s="1301" t="s">
        <v>142</v>
      </c>
      <c r="E80" s="1061">
        <v>60.954164350464545</v>
      </c>
      <c r="F80" s="1062">
        <v>377915.81897288014</v>
      </c>
      <c r="G80" s="1045">
        <v>87023.583369052707</v>
      </c>
      <c r="H80" s="1045">
        <v>43673.537443111301</v>
      </c>
      <c r="I80" s="1045">
        <v>73179.728099107073</v>
      </c>
      <c r="J80" s="1045">
        <v>6445.8877800595983</v>
      </c>
      <c r="K80" s="1045">
        <v>6445.8877800595983</v>
      </c>
      <c r="L80" s="1045">
        <v>6445.8877800595983</v>
      </c>
      <c r="M80" s="1045">
        <v>6445.8877800595983</v>
      </c>
      <c r="N80" s="1045">
        <v>6445.8877800595983</v>
      </c>
      <c r="O80" s="1045">
        <v>6445.8877800595983</v>
      </c>
      <c r="P80" s="1045">
        <v>6445.8877800595983</v>
      </c>
      <c r="Q80" s="1045">
        <v>6445.8877800595983</v>
      </c>
      <c r="R80" s="1045">
        <v>6445.8877800595983</v>
      </c>
      <c r="S80" s="1045">
        <v>6445.8877800595983</v>
      </c>
      <c r="T80" s="1045">
        <v>6445.8877800595983</v>
      </c>
      <c r="U80" s="1045">
        <v>6445.8877800595983</v>
      </c>
      <c r="V80" s="1045">
        <v>6445.8877800595983</v>
      </c>
      <c r="W80" s="1045">
        <v>6445.8877800595983</v>
      </c>
      <c r="X80" s="1045">
        <v>6445.8877800595983</v>
      </c>
      <c r="Y80" s="1045">
        <v>6445.8877800595983</v>
      </c>
      <c r="Z80" s="1045">
        <v>6445.8877800595983</v>
      </c>
      <c r="AA80" s="1045">
        <v>6445.8877800595983</v>
      </c>
      <c r="AB80" s="1045">
        <v>6445.8877800595983</v>
      </c>
      <c r="AC80" s="1045">
        <v>6445.8877800595983</v>
      </c>
      <c r="AD80" s="1045">
        <v>6445.8877800595983</v>
      </c>
      <c r="AE80" s="1045">
        <v>6445.8877800595983</v>
      </c>
      <c r="AF80" s="1045">
        <v>6445.8877800595983</v>
      </c>
      <c r="AG80" s="1045">
        <v>6445.8877800595983</v>
      </c>
      <c r="AH80" s="1045">
        <v>6445.8877800595983</v>
      </c>
      <c r="AI80" s="1045">
        <v>6445.8877800595983</v>
      </c>
      <c r="AJ80" s="1045">
        <v>6445.8877800595983</v>
      </c>
    </row>
    <row r="81" spans="1:36" s="1051" customFormat="1">
      <c r="A81" s="1060"/>
      <c r="B81" s="1316"/>
      <c r="C81" s="1306"/>
      <c r="D81" s="1302"/>
      <c r="E81" s="1063"/>
      <c r="F81" s="1064">
        <v>377915.81897288014</v>
      </c>
      <c r="G81" s="1045">
        <v>87023.583369052707</v>
      </c>
      <c r="H81" s="1045">
        <v>43673.537443111301</v>
      </c>
      <c r="I81" s="1045">
        <v>73179.728099107073</v>
      </c>
      <c r="J81" s="1045">
        <v>6445.8877800595983</v>
      </c>
      <c r="K81" s="1045">
        <v>6445.8877800595983</v>
      </c>
      <c r="L81" s="1045">
        <v>6445.8877800595983</v>
      </c>
      <c r="M81" s="1045">
        <v>6445.8877800595983</v>
      </c>
      <c r="N81" s="1045">
        <v>6445.8877800595983</v>
      </c>
      <c r="O81" s="1045">
        <v>6445.8877800595983</v>
      </c>
      <c r="P81" s="1045">
        <v>6445.8877800595983</v>
      </c>
      <c r="Q81" s="1045">
        <v>6445.8877800595983</v>
      </c>
      <c r="R81" s="1045">
        <v>6445.8877800595983</v>
      </c>
      <c r="S81" s="1045">
        <v>6445.8877800595983</v>
      </c>
      <c r="T81" s="1045">
        <v>6445.8877800595983</v>
      </c>
      <c r="U81" s="1045">
        <v>6445.8877800595983</v>
      </c>
      <c r="V81" s="1045">
        <v>6445.8877800595983</v>
      </c>
      <c r="W81" s="1045">
        <v>6445.8877800595983</v>
      </c>
      <c r="X81" s="1045">
        <v>6445.8877800595983</v>
      </c>
      <c r="Y81" s="1045">
        <v>6445.8877800595983</v>
      </c>
      <c r="Z81" s="1045">
        <v>6445.8877800595983</v>
      </c>
      <c r="AA81" s="1045">
        <v>6445.8877800595983</v>
      </c>
      <c r="AB81" s="1045">
        <v>6445.8877800595983</v>
      </c>
      <c r="AC81" s="1045">
        <v>6445.8877800595983</v>
      </c>
      <c r="AD81" s="1045">
        <v>6445.8877800595983</v>
      </c>
      <c r="AE81" s="1045">
        <v>6445.8877800595983</v>
      </c>
      <c r="AF81" s="1045">
        <v>6445.8877800595983</v>
      </c>
      <c r="AG81" s="1045">
        <v>6445.8877800595983</v>
      </c>
      <c r="AH81" s="1045">
        <v>6445.8877800595983</v>
      </c>
      <c r="AI81" s="1045">
        <v>6445.8877800595983</v>
      </c>
      <c r="AJ81" s="1045">
        <v>6445.8877800595983</v>
      </c>
    </row>
    <row r="82" spans="1:36" s="1046" customFormat="1">
      <c r="A82" s="1060"/>
      <c r="B82" s="1315" t="s">
        <v>255</v>
      </c>
      <c r="C82" s="1081">
        <v>3952</v>
      </c>
      <c r="D82" s="1301" t="s">
        <v>254</v>
      </c>
      <c r="E82" s="1061">
        <v>101.76713007780455</v>
      </c>
      <c r="F82" s="1062">
        <v>484716.84056058311</v>
      </c>
      <c r="G82" s="1045">
        <v>0</v>
      </c>
      <c r="H82" s="1045">
        <v>0</v>
      </c>
      <c r="I82" s="1045">
        <v>12483.468747486124</v>
      </c>
      <c r="J82" s="1045">
        <v>472233.37181309698</v>
      </c>
      <c r="K82" s="1045">
        <v>0</v>
      </c>
      <c r="L82" s="1045">
        <v>0</v>
      </c>
      <c r="M82" s="1045">
        <v>0</v>
      </c>
      <c r="N82" s="1045">
        <v>0</v>
      </c>
      <c r="O82" s="1045">
        <v>0</v>
      </c>
      <c r="P82" s="1045">
        <v>0</v>
      </c>
      <c r="Q82" s="1045">
        <v>0</v>
      </c>
      <c r="R82" s="1045">
        <v>0</v>
      </c>
      <c r="S82" s="1045">
        <v>0</v>
      </c>
      <c r="T82" s="1045">
        <v>0</v>
      </c>
      <c r="U82" s="1045">
        <v>0</v>
      </c>
      <c r="V82" s="1045">
        <v>0</v>
      </c>
      <c r="W82" s="1045">
        <v>0</v>
      </c>
      <c r="X82" s="1045">
        <v>0</v>
      </c>
      <c r="Y82" s="1045">
        <v>0</v>
      </c>
      <c r="Z82" s="1045">
        <v>0</v>
      </c>
      <c r="AA82" s="1045">
        <v>0</v>
      </c>
      <c r="AB82" s="1045">
        <v>0</v>
      </c>
      <c r="AC82" s="1045">
        <v>0</v>
      </c>
      <c r="AD82" s="1045">
        <v>0</v>
      </c>
      <c r="AE82" s="1045">
        <v>0</v>
      </c>
      <c r="AF82" s="1045">
        <v>0</v>
      </c>
      <c r="AG82" s="1045">
        <v>0</v>
      </c>
      <c r="AH82" s="1045">
        <v>0</v>
      </c>
      <c r="AI82" s="1045">
        <v>0</v>
      </c>
      <c r="AJ82" s="1045">
        <v>0</v>
      </c>
    </row>
    <row r="83" spans="1:36" s="1051" customFormat="1">
      <c r="A83" s="1060"/>
      <c r="B83" s="1316"/>
      <c r="C83" s="1081">
        <v>4763</v>
      </c>
      <c r="D83" s="1302"/>
      <c r="E83" s="1063"/>
      <c r="F83" s="1064">
        <v>484716.84056058311</v>
      </c>
      <c r="G83" s="1045">
        <v>0</v>
      </c>
      <c r="H83" s="1045">
        <v>0</v>
      </c>
      <c r="I83" s="1045">
        <v>12483.468747486124</v>
      </c>
      <c r="J83" s="1045">
        <v>472233.37181309698</v>
      </c>
      <c r="K83" s="1045">
        <v>0</v>
      </c>
      <c r="L83" s="1045">
        <v>0</v>
      </c>
      <c r="M83" s="1045">
        <v>0</v>
      </c>
      <c r="N83" s="1045">
        <v>0</v>
      </c>
      <c r="O83" s="1045">
        <v>0</v>
      </c>
      <c r="P83" s="1045">
        <v>0</v>
      </c>
      <c r="Q83" s="1045">
        <v>0</v>
      </c>
      <c r="R83" s="1045">
        <v>0</v>
      </c>
      <c r="S83" s="1045">
        <v>0</v>
      </c>
      <c r="T83" s="1045">
        <v>0</v>
      </c>
      <c r="U83" s="1045">
        <v>0</v>
      </c>
      <c r="V83" s="1045">
        <v>0</v>
      </c>
      <c r="W83" s="1045">
        <v>0</v>
      </c>
      <c r="X83" s="1045">
        <v>0</v>
      </c>
      <c r="Y83" s="1045">
        <v>0</v>
      </c>
      <c r="Z83" s="1045">
        <v>0</v>
      </c>
      <c r="AA83" s="1045">
        <v>0</v>
      </c>
      <c r="AB83" s="1045">
        <v>0</v>
      </c>
      <c r="AC83" s="1045">
        <v>0</v>
      </c>
      <c r="AD83" s="1045">
        <v>0</v>
      </c>
      <c r="AE83" s="1045">
        <v>0</v>
      </c>
      <c r="AF83" s="1045">
        <v>0</v>
      </c>
      <c r="AG83" s="1045">
        <v>0</v>
      </c>
      <c r="AH83" s="1045">
        <v>0</v>
      </c>
      <c r="AI83" s="1045">
        <v>0</v>
      </c>
      <c r="AJ83" s="1045">
        <v>0</v>
      </c>
    </row>
    <row r="84" spans="1:36" hidden="1">
      <c r="D84" s="275"/>
      <c r="E84" s="483"/>
      <c r="F84" s="508"/>
      <c r="G84" s="1045"/>
      <c r="H84" s="1045"/>
      <c r="I84" s="1045"/>
      <c r="J84" s="1045"/>
      <c r="K84" s="1045"/>
      <c r="L84" s="1045"/>
      <c r="M84" s="1045"/>
      <c r="N84" s="1045"/>
      <c r="O84" s="1045"/>
      <c r="P84" s="1045"/>
      <c r="Q84" s="1045"/>
      <c r="R84" s="1045"/>
      <c r="S84" s="1045"/>
      <c r="T84" s="1045"/>
      <c r="U84" s="1045"/>
      <c r="V84" s="1045"/>
      <c r="W84" s="1045"/>
      <c r="X84" s="1045"/>
      <c r="Y84" s="1045"/>
      <c r="Z84" s="1045"/>
      <c r="AA84" s="1045"/>
      <c r="AB84" s="1045"/>
      <c r="AC84" s="1045"/>
      <c r="AD84" s="1045"/>
      <c r="AE84" s="1045"/>
      <c r="AF84" s="1045"/>
      <c r="AG84" s="1045"/>
      <c r="AH84" s="1045"/>
      <c r="AI84" s="1045"/>
      <c r="AJ84" s="1045"/>
    </row>
    <row r="85" spans="1:36" s="1046" customFormat="1" hidden="1">
      <c r="A85" s="1309" t="s">
        <v>160</v>
      </c>
      <c r="B85" s="1311" t="s">
        <v>161</v>
      </c>
      <c r="C85" s="1052"/>
      <c r="D85" s="1065"/>
      <c r="E85" s="1087"/>
      <c r="F85" s="1088">
        <v>0</v>
      </c>
      <c r="G85" s="1045">
        <v>0</v>
      </c>
      <c r="H85" s="1045">
        <v>0</v>
      </c>
      <c r="I85" s="1045">
        <v>0</v>
      </c>
      <c r="J85" s="1045">
        <v>0</v>
      </c>
      <c r="K85" s="1045">
        <v>0</v>
      </c>
      <c r="L85" s="1045">
        <v>0</v>
      </c>
      <c r="M85" s="1045">
        <v>0</v>
      </c>
      <c r="N85" s="1045">
        <v>0</v>
      </c>
      <c r="O85" s="1045">
        <v>0</v>
      </c>
      <c r="P85" s="1045">
        <v>0</v>
      </c>
      <c r="Q85" s="1045">
        <v>0</v>
      </c>
      <c r="R85" s="1045">
        <v>0</v>
      </c>
      <c r="S85" s="1045">
        <v>0</v>
      </c>
      <c r="T85" s="1045">
        <v>0</v>
      </c>
      <c r="U85" s="1045">
        <v>0</v>
      </c>
      <c r="V85" s="1045">
        <v>0</v>
      </c>
      <c r="W85" s="1045">
        <v>0</v>
      </c>
      <c r="X85" s="1045">
        <v>0</v>
      </c>
      <c r="Y85" s="1045">
        <v>0</v>
      </c>
      <c r="Z85" s="1045">
        <v>0</v>
      </c>
      <c r="AA85" s="1045">
        <v>0</v>
      </c>
      <c r="AB85" s="1045">
        <v>0</v>
      </c>
      <c r="AC85" s="1045">
        <v>0</v>
      </c>
      <c r="AD85" s="1045">
        <v>0</v>
      </c>
      <c r="AE85" s="1045">
        <v>0</v>
      </c>
      <c r="AF85" s="1045">
        <v>0</v>
      </c>
      <c r="AG85" s="1045">
        <v>0</v>
      </c>
      <c r="AH85" s="1045">
        <v>0</v>
      </c>
      <c r="AI85" s="1045">
        <v>0</v>
      </c>
      <c r="AJ85" s="1045">
        <v>0</v>
      </c>
    </row>
    <row r="86" spans="1:36" s="1051" customFormat="1" hidden="1">
      <c r="A86" s="1310"/>
      <c r="B86" s="1312"/>
      <c r="C86" s="1071"/>
      <c r="D86" s="1050"/>
      <c r="E86" s="1089"/>
      <c r="F86" s="1090"/>
      <c r="G86" s="1045">
        <v>0</v>
      </c>
      <c r="H86" s="1045">
        <v>0</v>
      </c>
      <c r="I86" s="1045">
        <v>0</v>
      </c>
      <c r="J86" s="1045">
        <v>0</v>
      </c>
      <c r="K86" s="1045">
        <v>0</v>
      </c>
      <c r="L86" s="1045">
        <v>0</v>
      </c>
      <c r="M86" s="1045">
        <v>0</v>
      </c>
      <c r="N86" s="1045">
        <v>0</v>
      </c>
      <c r="O86" s="1045">
        <v>0</v>
      </c>
      <c r="P86" s="1045">
        <v>0</v>
      </c>
      <c r="Q86" s="1045">
        <v>0</v>
      </c>
      <c r="R86" s="1045">
        <v>0</v>
      </c>
      <c r="S86" s="1045">
        <v>0</v>
      </c>
      <c r="T86" s="1045">
        <v>0</v>
      </c>
      <c r="U86" s="1045">
        <v>0</v>
      </c>
      <c r="V86" s="1045">
        <v>0</v>
      </c>
      <c r="W86" s="1045">
        <v>0</v>
      </c>
      <c r="X86" s="1045">
        <v>0</v>
      </c>
      <c r="Y86" s="1045">
        <v>0</v>
      </c>
      <c r="Z86" s="1045">
        <v>0</v>
      </c>
      <c r="AA86" s="1045">
        <v>0</v>
      </c>
      <c r="AB86" s="1045">
        <v>0</v>
      </c>
      <c r="AC86" s="1045">
        <v>0</v>
      </c>
      <c r="AD86" s="1045">
        <v>0</v>
      </c>
      <c r="AE86" s="1045">
        <v>0</v>
      </c>
      <c r="AF86" s="1045">
        <v>0</v>
      </c>
      <c r="AG86" s="1045">
        <v>0</v>
      </c>
      <c r="AH86" s="1045">
        <v>0</v>
      </c>
      <c r="AI86" s="1045">
        <v>0</v>
      </c>
      <c r="AJ86" s="1045">
        <v>0</v>
      </c>
    </row>
    <row r="87" spans="1:36" hidden="1">
      <c r="C87" s="200"/>
      <c r="D87" s="1091"/>
      <c r="E87" s="1092"/>
      <c r="F87" s="1093"/>
      <c r="G87" s="1045"/>
      <c r="H87" s="1045"/>
      <c r="I87" s="1045"/>
      <c r="J87" s="1045"/>
      <c r="K87" s="1045"/>
      <c r="L87" s="1045"/>
      <c r="M87" s="1045"/>
      <c r="N87" s="1045"/>
      <c r="O87" s="1045"/>
      <c r="P87" s="1045"/>
      <c r="Q87" s="1045"/>
      <c r="R87" s="1045"/>
      <c r="S87" s="1045"/>
      <c r="T87" s="1045"/>
      <c r="U87" s="1045"/>
      <c r="V87" s="1045"/>
      <c r="W87" s="1045"/>
      <c r="X87" s="1045"/>
      <c r="Y87" s="1045"/>
      <c r="Z87" s="1045"/>
      <c r="AA87" s="1045"/>
      <c r="AB87" s="1045"/>
      <c r="AC87" s="1045"/>
      <c r="AD87" s="1045"/>
      <c r="AE87" s="1045"/>
      <c r="AF87" s="1045"/>
      <c r="AG87" s="1045"/>
      <c r="AH87" s="1045"/>
      <c r="AI87" s="1045"/>
      <c r="AJ87" s="1045"/>
    </row>
    <row r="88" spans="1:36" s="1046" customFormat="1" hidden="1">
      <c r="A88" s="1309" t="s">
        <v>162</v>
      </c>
      <c r="B88" s="1311" t="s">
        <v>163</v>
      </c>
      <c r="C88" s="1052"/>
      <c r="D88" s="1065"/>
      <c r="E88" s="1087"/>
      <c r="F88" s="1088">
        <v>0</v>
      </c>
      <c r="G88" s="1045">
        <v>0</v>
      </c>
      <c r="H88" s="1045">
        <v>0</v>
      </c>
      <c r="I88" s="1045">
        <v>0</v>
      </c>
      <c r="J88" s="1045">
        <v>0</v>
      </c>
      <c r="K88" s="1045">
        <v>0</v>
      </c>
      <c r="L88" s="1045">
        <v>0</v>
      </c>
      <c r="M88" s="1045">
        <v>0</v>
      </c>
      <c r="N88" s="1045">
        <v>0</v>
      </c>
      <c r="O88" s="1045">
        <v>0</v>
      </c>
      <c r="P88" s="1045">
        <v>0</v>
      </c>
      <c r="Q88" s="1045">
        <v>0</v>
      </c>
      <c r="R88" s="1045">
        <v>0</v>
      </c>
      <c r="S88" s="1045">
        <v>0</v>
      </c>
      <c r="T88" s="1045">
        <v>0</v>
      </c>
      <c r="U88" s="1045">
        <v>0</v>
      </c>
      <c r="V88" s="1045">
        <v>0</v>
      </c>
      <c r="W88" s="1045">
        <v>0</v>
      </c>
      <c r="X88" s="1045">
        <v>0</v>
      </c>
      <c r="Y88" s="1045">
        <v>0</v>
      </c>
      <c r="Z88" s="1045">
        <v>0</v>
      </c>
      <c r="AA88" s="1045">
        <v>0</v>
      </c>
      <c r="AB88" s="1045">
        <v>0</v>
      </c>
      <c r="AC88" s="1045">
        <v>0</v>
      </c>
      <c r="AD88" s="1045">
        <v>0</v>
      </c>
      <c r="AE88" s="1045">
        <v>0</v>
      </c>
      <c r="AF88" s="1045">
        <v>0</v>
      </c>
      <c r="AG88" s="1045">
        <v>0</v>
      </c>
      <c r="AH88" s="1045">
        <v>0</v>
      </c>
      <c r="AI88" s="1045">
        <v>0</v>
      </c>
      <c r="AJ88" s="1045">
        <v>0</v>
      </c>
    </row>
    <row r="89" spans="1:36" s="1051" customFormat="1" hidden="1">
      <c r="A89" s="1310"/>
      <c r="B89" s="1312"/>
      <c r="C89" s="1071"/>
      <c r="D89" s="1072"/>
      <c r="E89" s="1089"/>
      <c r="F89" s="1090"/>
      <c r="G89" s="1045">
        <v>0</v>
      </c>
      <c r="H89" s="1045">
        <v>0</v>
      </c>
      <c r="I89" s="1045">
        <v>0</v>
      </c>
      <c r="J89" s="1045">
        <v>0</v>
      </c>
      <c r="K89" s="1045">
        <v>0</v>
      </c>
      <c r="L89" s="1045">
        <v>0</v>
      </c>
      <c r="M89" s="1045">
        <v>0</v>
      </c>
      <c r="N89" s="1045">
        <v>0</v>
      </c>
      <c r="O89" s="1045">
        <v>0</v>
      </c>
      <c r="P89" s="1045">
        <v>0</v>
      </c>
      <c r="Q89" s="1045">
        <v>0</v>
      </c>
      <c r="R89" s="1045">
        <v>0</v>
      </c>
      <c r="S89" s="1045">
        <v>0</v>
      </c>
      <c r="T89" s="1045">
        <v>0</v>
      </c>
      <c r="U89" s="1045">
        <v>0</v>
      </c>
      <c r="V89" s="1045">
        <v>0</v>
      </c>
      <c r="W89" s="1045">
        <v>0</v>
      </c>
      <c r="X89" s="1045">
        <v>0</v>
      </c>
      <c r="Y89" s="1045">
        <v>0</v>
      </c>
      <c r="Z89" s="1045">
        <v>0</v>
      </c>
      <c r="AA89" s="1045">
        <v>0</v>
      </c>
      <c r="AB89" s="1045">
        <v>0</v>
      </c>
      <c r="AC89" s="1045">
        <v>0</v>
      </c>
      <c r="AD89" s="1045">
        <v>0</v>
      </c>
      <c r="AE89" s="1045">
        <v>0</v>
      </c>
      <c r="AF89" s="1045">
        <v>0</v>
      </c>
      <c r="AG89" s="1045">
        <v>0</v>
      </c>
      <c r="AH89" s="1045">
        <v>0</v>
      </c>
      <c r="AI89" s="1045">
        <v>0</v>
      </c>
      <c r="AJ89" s="1045">
        <v>0</v>
      </c>
    </row>
    <row r="90" spans="1:36" hidden="1">
      <c r="C90" s="200"/>
      <c r="D90" s="1091"/>
      <c r="E90" s="1092"/>
      <c r="F90" s="1093"/>
      <c r="G90" s="1045"/>
      <c r="H90" s="1045"/>
      <c r="I90" s="1045"/>
      <c r="J90" s="1045"/>
      <c r="K90" s="1045"/>
      <c r="L90" s="1045"/>
      <c r="M90" s="1045"/>
      <c r="N90" s="1045"/>
      <c r="O90" s="1045"/>
      <c r="P90" s="1045"/>
      <c r="Q90" s="1045"/>
      <c r="R90" s="1045"/>
      <c r="S90" s="1045"/>
      <c r="T90" s="1045"/>
      <c r="U90" s="1045"/>
      <c r="V90" s="1045"/>
      <c r="W90" s="1045"/>
      <c r="X90" s="1045"/>
      <c r="Y90" s="1045"/>
      <c r="Z90" s="1045"/>
      <c r="AA90" s="1045"/>
      <c r="AB90" s="1045"/>
      <c r="AC90" s="1045"/>
      <c r="AD90" s="1045"/>
      <c r="AE90" s="1045"/>
      <c r="AF90" s="1045"/>
      <c r="AG90" s="1045"/>
      <c r="AH90" s="1045"/>
      <c r="AI90" s="1045"/>
      <c r="AJ90" s="1045"/>
    </row>
    <row r="91" spans="1:36" s="1046" customFormat="1" hidden="1">
      <c r="A91" s="1309" t="s">
        <v>164</v>
      </c>
      <c r="B91" s="1309" t="s">
        <v>165</v>
      </c>
      <c r="C91" s="1042"/>
      <c r="D91" s="1075"/>
      <c r="E91" s="1094"/>
      <c r="F91" s="1088">
        <v>0</v>
      </c>
      <c r="G91" s="1045">
        <v>0</v>
      </c>
      <c r="H91" s="1045">
        <v>0</v>
      </c>
      <c r="I91" s="1045">
        <v>0</v>
      </c>
      <c r="J91" s="1045">
        <v>0</v>
      </c>
      <c r="K91" s="1045">
        <v>0</v>
      </c>
      <c r="L91" s="1045">
        <v>0</v>
      </c>
      <c r="M91" s="1045">
        <v>0</v>
      </c>
      <c r="N91" s="1045">
        <v>0</v>
      </c>
      <c r="O91" s="1045">
        <v>0</v>
      </c>
      <c r="P91" s="1045">
        <v>0</v>
      </c>
      <c r="Q91" s="1045">
        <v>0</v>
      </c>
      <c r="R91" s="1045">
        <v>0</v>
      </c>
      <c r="S91" s="1045">
        <v>0</v>
      </c>
      <c r="T91" s="1045">
        <v>0</v>
      </c>
      <c r="U91" s="1045">
        <v>0</v>
      </c>
      <c r="V91" s="1045">
        <v>0</v>
      </c>
      <c r="W91" s="1045">
        <v>0</v>
      </c>
      <c r="X91" s="1045">
        <v>0</v>
      </c>
      <c r="Y91" s="1045">
        <v>0</v>
      </c>
      <c r="Z91" s="1045">
        <v>0</v>
      </c>
      <c r="AA91" s="1045">
        <v>0</v>
      </c>
      <c r="AB91" s="1045">
        <v>0</v>
      </c>
      <c r="AC91" s="1045">
        <v>0</v>
      </c>
      <c r="AD91" s="1045">
        <v>0</v>
      </c>
      <c r="AE91" s="1045">
        <v>0</v>
      </c>
      <c r="AF91" s="1045">
        <v>0</v>
      </c>
      <c r="AG91" s="1045">
        <v>0</v>
      </c>
      <c r="AH91" s="1045">
        <v>0</v>
      </c>
      <c r="AI91" s="1045">
        <v>0</v>
      </c>
      <c r="AJ91" s="1045">
        <v>0</v>
      </c>
    </row>
    <row r="92" spans="1:36" s="1051" customFormat="1" hidden="1">
      <c r="A92" s="1310"/>
      <c r="B92" s="1310"/>
      <c r="C92" s="1071"/>
      <c r="D92" s="1072"/>
      <c r="E92" s="1089"/>
      <c r="F92" s="1063"/>
      <c r="G92" s="1045">
        <v>0</v>
      </c>
      <c r="H92" s="1045">
        <v>0</v>
      </c>
      <c r="I92" s="1045">
        <v>0</v>
      </c>
      <c r="J92" s="1045">
        <v>0</v>
      </c>
      <c r="K92" s="1045">
        <v>0</v>
      </c>
      <c r="L92" s="1045">
        <v>0</v>
      </c>
      <c r="M92" s="1045">
        <v>0</v>
      </c>
      <c r="N92" s="1045">
        <v>0</v>
      </c>
      <c r="O92" s="1045">
        <v>0</v>
      </c>
      <c r="P92" s="1045">
        <v>0</v>
      </c>
      <c r="Q92" s="1045">
        <v>0</v>
      </c>
      <c r="R92" s="1045">
        <v>0</v>
      </c>
      <c r="S92" s="1045">
        <v>0</v>
      </c>
      <c r="T92" s="1045">
        <v>0</v>
      </c>
      <c r="U92" s="1045">
        <v>0</v>
      </c>
      <c r="V92" s="1045">
        <v>0</v>
      </c>
      <c r="W92" s="1045">
        <v>0</v>
      </c>
      <c r="X92" s="1045">
        <v>0</v>
      </c>
      <c r="Y92" s="1045">
        <v>0</v>
      </c>
      <c r="Z92" s="1045">
        <v>0</v>
      </c>
      <c r="AA92" s="1045">
        <v>0</v>
      </c>
      <c r="AB92" s="1045">
        <v>0</v>
      </c>
      <c r="AC92" s="1045">
        <v>0</v>
      </c>
      <c r="AD92" s="1045">
        <v>0</v>
      </c>
      <c r="AE92" s="1045">
        <v>0</v>
      </c>
      <c r="AF92" s="1045">
        <v>0</v>
      </c>
      <c r="AG92" s="1045">
        <v>0</v>
      </c>
      <c r="AH92" s="1045">
        <v>0</v>
      </c>
      <c r="AI92" s="1045">
        <v>0</v>
      </c>
      <c r="AJ92" s="1045">
        <v>0</v>
      </c>
    </row>
    <row r="93" spans="1:36" hidden="1">
      <c r="C93" s="200"/>
      <c r="D93" s="1091"/>
      <c r="E93" s="1092"/>
      <c r="F93" s="1095"/>
      <c r="G93" s="1045"/>
      <c r="H93" s="1045"/>
      <c r="I93" s="1045"/>
      <c r="J93" s="1045"/>
      <c r="K93" s="1045"/>
      <c r="L93" s="1045"/>
      <c r="M93" s="1045"/>
      <c r="N93" s="1045"/>
      <c r="O93" s="1045"/>
      <c r="P93" s="1045"/>
      <c r="Q93" s="1045"/>
      <c r="R93" s="1045"/>
      <c r="S93" s="1045"/>
      <c r="T93" s="1045"/>
      <c r="U93" s="1045"/>
      <c r="V93" s="1045"/>
      <c r="W93" s="1045"/>
      <c r="X93" s="1045"/>
      <c r="Y93" s="1045"/>
      <c r="Z93" s="1045"/>
      <c r="AA93" s="1045"/>
      <c r="AB93" s="1045"/>
      <c r="AC93" s="1045"/>
      <c r="AD93" s="1045"/>
      <c r="AE93" s="1045"/>
      <c r="AF93" s="1045"/>
      <c r="AG93" s="1045"/>
      <c r="AH93" s="1045"/>
      <c r="AI93" s="1045"/>
      <c r="AJ93" s="1045"/>
    </row>
    <row r="94" spans="1:36" s="1046" customFormat="1">
      <c r="A94" s="1307"/>
      <c r="B94" s="1309" t="s">
        <v>166</v>
      </c>
      <c r="C94" s="1042"/>
      <c r="D94" s="1043"/>
      <c r="E94" s="1094"/>
      <c r="F94" s="1077">
        <v>20611134.373714816</v>
      </c>
      <c r="G94" s="1045">
        <v>563316.99957136728</v>
      </c>
      <c r="H94" s="1045">
        <v>345639.16425320646</v>
      </c>
      <c r="I94" s="1045">
        <v>408922.78175528918</v>
      </c>
      <c r="J94" s="1045">
        <v>5706358.9751920104</v>
      </c>
      <c r="K94" s="1045">
        <v>1024965.5025402769</v>
      </c>
      <c r="L94" s="1045">
        <v>479193.40131925279</v>
      </c>
      <c r="M94" s="1045">
        <v>1713105.5265664214</v>
      </c>
      <c r="N94" s="1045">
        <v>1191741.8254753242</v>
      </c>
      <c r="O94" s="1045">
        <v>1924124.4288391718</v>
      </c>
      <c r="P94" s="1045">
        <v>999778.07055976056</v>
      </c>
      <c r="Q94" s="1045">
        <v>2653505.4796216656</v>
      </c>
      <c r="R94" s="1045">
        <v>2353010.2054911945</v>
      </c>
      <c r="S94" s="1045">
        <v>68386.753752136574</v>
      </c>
      <c r="T94" s="1045">
        <v>68386.753752136574</v>
      </c>
      <c r="U94" s="1045">
        <v>68386.753752136574</v>
      </c>
      <c r="V94" s="1045">
        <v>63098.753752136574</v>
      </c>
      <c r="W94" s="1045">
        <v>63098.753752136574</v>
      </c>
      <c r="X94" s="1045">
        <v>63098.753752136574</v>
      </c>
      <c r="Y94" s="1045">
        <v>63098.753752136574</v>
      </c>
      <c r="Z94" s="1045">
        <v>63098.753752136574</v>
      </c>
      <c r="AA94" s="1045">
        <v>68793.753752136574</v>
      </c>
      <c r="AB94" s="1045">
        <v>59438.753752136574</v>
      </c>
      <c r="AC94" s="1045">
        <v>59438.753752136574</v>
      </c>
      <c r="AD94" s="1045">
        <v>59438.753752136574</v>
      </c>
      <c r="AE94" s="1045">
        <v>59438.753752136574</v>
      </c>
      <c r="AF94" s="1045">
        <v>68793.753752136574</v>
      </c>
      <c r="AG94" s="1045">
        <v>60252.753752136574</v>
      </c>
      <c r="AH94" s="1045">
        <v>61066.753752136574</v>
      </c>
      <c r="AI94" s="1045">
        <v>62284.753752136574</v>
      </c>
      <c r="AJ94" s="1045">
        <v>59460.753752136574</v>
      </c>
    </row>
    <row r="95" spans="1:36" s="1051" customFormat="1">
      <c r="A95" s="1308"/>
      <c r="B95" s="1310"/>
      <c r="C95" s="1047"/>
      <c r="D95" s="1096"/>
      <c r="E95" s="1048"/>
      <c r="F95" s="1080">
        <v>20517119.663628098</v>
      </c>
      <c r="G95" s="1045">
        <v>563262.22957299976</v>
      </c>
      <c r="H95" s="1045">
        <v>345639.16425320646</v>
      </c>
      <c r="I95" s="1045">
        <v>302337.51106105704</v>
      </c>
      <c r="J95" s="1045">
        <v>1393737.2138793976</v>
      </c>
      <c r="K95" s="1045">
        <v>5209890.1252055867</v>
      </c>
      <c r="L95" s="1045">
        <v>727898.33131925284</v>
      </c>
      <c r="M95" s="1045">
        <v>1713105.5265664214</v>
      </c>
      <c r="N95" s="1045">
        <v>1191741.8254753242</v>
      </c>
      <c r="O95" s="1045">
        <v>1924165.9188391753</v>
      </c>
      <c r="P95" s="1045">
        <v>999778.07055976056</v>
      </c>
      <c r="Q95" s="1045">
        <v>2653505.4796216656</v>
      </c>
      <c r="R95" s="1045">
        <v>2353010.2054911945</v>
      </c>
      <c r="S95" s="1045">
        <v>68386.753752136574</v>
      </c>
      <c r="T95" s="1045">
        <v>68386.753752136574</v>
      </c>
      <c r="U95" s="1045">
        <v>68386.753752136574</v>
      </c>
      <c r="V95" s="1045">
        <v>63098.753752136574</v>
      </c>
      <c r="W95" s="1045">
        <v>63098.753752136574</v>
      </c>
      <c r="X95" s="1045">
        <v>63098.753752136574</v>
      </c>
      <c r="Y95" s="1045">
        <v>63098.753752136574</v>
      </c>
      <c r="Z95" s="1045">
        <v>63098.753752136574</v>
      </c>
      <c r="AA95" s="1045">
        <v>68793.753752136574</v>
      </c>
      <c r="AB95" s="1045">
        <v>59438.753752136574</v>
      </c>
      <c r="AC95" s="1045">
        <v>59438.753752136574</v>
      </c>
      <c r="AD95" s="1045">
        <v>59438.753752136574</v>
      </c>
      <c r="AE95" s="1045">
        <v>59438.753752136574</v>
      </c>
      <c r="AF95" s="1045">
        <v>68793.753752136574</v>
      </c>
      <c r="AG95" s="1045">
        <v>60252.753752136574</v>
      </c>
      <c r="AH95" s="1045">
        <v>61066.753752136574</v>
      </c>
      <c r="AI95" s="1045">
        <v>62284.753752136574</v>
      </c>
      <c r="AJ95" s="1045">
        <v>59447.247996732927</v>
      </c>
    </row>
    <row r="96" spans="1:36" hidden="1">
      <c r="G96" s="1045"/>
      <c r="H96" s="1045"/>
      <c r="I96" s="1045"/>
      <c r="J96" s="1045"/>
      <c r="K96" s="1045"/>
      <c r="L96" s="1045"/>
      <c r="M96" s="1045"/>
      <c r="N96" s="1045"/>
      <c r="O96" s="1045"/>
      <c r="P96" s="1045"/>
      <c r="Q96" s="1045"/>
      <c r="R96" s="1045"/>
      <c r="S96" s="1045"/>
      <c r="T96" s="1045"/>
      <c r="U96" s="1045"/>
      <c r="V96" s="1045"/>
      <c r="W96" s="1045"/>
      <c r="X96" s="1045"/>
      <c r="Y96" s="1045"/>
      <c r="Z96" s="1045"/>
      <c r="AA96" s="1045"/>
      <c r="AB96" s="1045"/>
      <c r="AC96" s="1045"/>
      <c r="AD96" s="1045"/>
      <c r="AE96" s="1045"/>
      <c r="AF96" s="1045"/>
      <c r="AG96" s="1045"/>
      <c r="AH96" s="1045"/>
      <c r="AI96" s="1045"/>
      <c r="AJ96" s="1045"/>
    </row>
    <row r="97" spans="1:36" s="1046" customFormat="1">
      <c r="A97" s="1097"/>
      <c r="B97" s="1097"/>
      <c r="C97" s="1098"/>
      <c r="D97" s="1099"/>
      <c r="E97" s="1054" t="s">
        <v>26</v>
      </c>
      <c r="F97" s="1100">
        <v>3424241.3387894165</v>
      </c>
      <c r="G97" s="1045">
        <v>166207.52634893998</v>
      </c>
      <c r="H97" s="1045">
        <v>779407.29990741925</v>
      </c>
      <c r="I97" s="1045">
        <v>41523.572392049231</v>
      </c>
      <c r="J97" s="1045">
        <v>33653.575411269507</v>
      </c>
      <c r="K97" s="1045">
        <v>32939.575411269507</v>
      </c>
      <c r="L97" s="1045">
        <v>30705.408837250929</v>
      </c>
      <c r="M97" s="1045">
        <v>29689.408837250929</v>
      </c>
      <c r="N97" s="1045">
        <v>29689.408837250929</v>
      </c>
      <c r="O97" s="1045">
        <v>29689.408837250929</v>
      </c>
      <c r="P97" s="1045">
        <v>30297.408837250929</v>
      </c>
      <c r="Q97" s="1045">
        <v>20530.832870092909</v>
      </c>
      <c r="R97" s="1045">
        <v>20020.832870092909</v>
      </c>
      <c r="S97" s="1045">
        <v>20020.832870092909</v>
      </c>
      <c r="T97" s="1045">
        <v>20020.832870092909</v>
      </c>
      <c r="U97" s="1045">
        <v>20020.832870092909</v>
      </c>
      <c r="V97" s="1045">
        <v>18596.832870092909</v>
      </c>
      <c r="W97" s="1045">
        <v>18596.832870092909</v>
      </c>
      <c r="X97" s="1045">
        <v>18596.832870092909</v>
      </c>
      <c r="Y97" s="1045">
        <v>18596.832870092909</v>
      </c>
      <c r="Z97" s="1045">
        <v>18596.832870092909</v>
      </c>
      <c r="AA97" s="1045">
        <v>20122.832870092909</v>
      </c>
      <c r="AB97" s="1045">
        <v>17580.832870092909</v>
      </c>
      <c r="AC97" s="1045">
        <v>17580.832870092909</v>
      </c>
      <c r="AD97" s="1045">
        <v>17580.832870092909</v>
      </c>
      <c r="AE97" s="1045">
        <v>17580.832870092909</v>
      </c>
      <c r="AF97" s="1045">
        <v>20122.832870092909</v>
      </c>
      <c r="AG97" s="1045">
        <v>17784.832870092909</v>
      </c>
      <c r="AH97" s="1045">
        <v>17988.832870092909</v>
      </c>
      <c r="AI97" s="1045">
        <v>18392.832870092909</v>
      </c>
      <c r="AJ97" s="1045">
        <v>15544.832870092909</v>
      </c>
    </row>
    <row r="98" spans="1:36" s="1051" customFormat="1">
      <c r="A98" s="1101"/>
      <c r="B98" s="1101"/>
      <c r="C98" s="1102"/>
      <c r="D98" s="1103"/>
      <c r="E98" s="1058"/>
      <c r="F98" s="1104">
        <v>3165202.4287026967</v>
      </c>
      <c r="G98" s="1045">
        <v>408428.3754822117</v>
      </c>
      <c r="H98" s="1045">
        <v>329783.01199834509</v>
      </c>
      <c r="I98" s="1045">
        <v>226602.31678867346</v>
      </c>
      <c r="J98" s="1045">
        <v>1359859.3479073208</v>
      </c>
      <c r="K98" s="1045">
        <v>423362.0777800596</v>
      </c>
      <c r="L98" s="1045">
        <v>99278.617780059591</v>
      </c>
      <c r="M98" s="1045">
        <v>14581.887780059598</v>
      </c>
      <c r="N98" s="1045">
        <v>14581.887780059598</v>
      </c>
      <c r="O98" s="1045">
        <v>14581.887780059598</v>
      </c>
      <c r="P98" s="1045">
        <v>15189.887780059598</v>
      </c>
      <c r="Q98" s="1045">
        <v>14785.887780059598</v>
      </c>
      <c r="R98" s="1045">
        <v>14275.887780059598</v>
      </c>
      <c r="S98" s="1045">
        <v>14275.887780059598</v>
      </c>
      <c r="T98" s="1045">
        <v>14275.887780059598</v>
      </c>
      <c r="U98" s="1045">
        <v>14275.887780059598</v>
      </c>
      <c r="V98" s="1045">
        <v>12851.887780059598</v>
      </c>
      <c r="W98" s="1045">
        <v>12851.887780059598</v>
      </c>
      <c r="X98" s="1045">
        <v>12851.887780059598</v>
      </c>
      <c r="Y98" s="1045">
        <v>12851.887780059598</v>
      </c>
      <c r="Z98" s="1045">
        <v>12851.887780059598</v>
      </c>
      <c r="AA98" s="1045">
        <v>14377.887780059598</v>
      </c>
      <c r="AB98" s="1045">
        <v>11835.887780059598</v>
      </c>
      <c r="AC98" s="1045">
        <v>11835.887780059598</v>
      </c>
      <c r="AD98" s="1045">
        <v>11835.887780059598</v>
      </c>
      <c r="AE98" s="1045">
        <v>11835.887780059598</v>
      </c>
      <c r="AF98" s="1045">
        <v>14377.887780059598</v>
      </c>
      <c r="AG98" s="1045">
        <v>12039.887780059598</v>
      </c>
      <c r="AH98" s="1045">
        <v>12243.887780059598</v>
      </c>
      <c r="AI98" s="1045">
        <v>12647.887780059598</v>
      </c>
      <c r="AJ98" s="1045">
        <v>9773.2620246559418</v>
      </c>
    </row>
    <row r="99" spans="1:36" s="1046" customFormat="1">
      <c r="A99" s="1097"/>
      <c r="B99" s="1097"/>
      <c r="C99" s="1098"/>
      <c r="D99" s="1099"/>
      <c r="E99" s="1054" t="s">
        <v>88</v>
      </c>
      <c r="F99" s="1100">
        <v>16095669.330179021</v>
      </c>
      <c r="G99" s="1045">
        <v>816</v>
      </c>
      <c r="H99" s="1045">
        <v>118124</v>
      </c>
      <c r="I99" s="1045">
        <v>125880</v>
      </c>
      <c r="J99" s="1045">
        <v>6072356.7925725793</v>
      </c>
      <c r="K99" s="1045">
        <v>231126</v>
      </c>
      <c r="L99" s="1045">
        <v>661333</v>
      </c>
      <c r="M99" s="1045">
        <v>1228573.4517390579</v>
      </c>
      <c r="N99" s="1045">
        <v>1240949.4517390579</v>
      </c>
      <c r="O99" s="1045">
        <v>621635.45173905801</v>
      </c>
      <c r="P99" s="1045">
        <v>23388</v>
      </c>
      <c r="Q99" s="1045">
        <v>22574</v>
      </c>
      <c r="R99" s="1045">
        <v>21049</v>
      </c>
      <c r="S99" s="1045">
        <v>21049</v>
      </c>
      <c r="T99" s="1045">
        <v>21049</v>
      </c>
      <c r="U99" s="1045">
        <v>21049</v>
      </c>
      <c r="V99" s="1045">
        <v>17185</v>
      </c>
      <c r="W99" s="1045">
        <v>17185</v>
      </c>
      <c r="X99" s="1045">
        <v>17185</v>
      </c>
      <c r="Y99" s="1045">
        <v>17185</v>
      </c>
      <c r="Z99" s="1045">
        <v>17185</v>
      </c>
      <c r="AA99" s="1045">
        <v>21354</v>
      </c>
      <c r="AB99" s="1045">
        <v>14541</v>
      </c>
      <c r="AC99" s="1045">
        <v>14541</v>
      </c>
      <c r="AD99" s="1045">
        <v>14541</v>
      </c>
      <c r="AE99" s="1045">
        <v>14541</v>
      </c>
      <c r="AF99" s="1045">
        <v>21354</v>
      </c>
      <c r="AG99" s="1045">
        <v>15151</v>
      </c>
      <c r="AH99" s="1045">
        <v>15761</v>
      </c>
      <c r="AI99" s="1045">
        <v>16575</v>
      </c>
      <c r="AJ99" s="1045">
        <v>8847</v>
      </c>
    </row>
    <row r="100" spans="1:36" s="1051" customFormat="1">
      <c r="A100" s="1101"/>
      <c r="B100" s="1101"/>
      <c r="C100" s="1102"/>
      <c r="D100" s="1103"/>
      <c r="E100" s="1058"/>
      <c r="F100" s="1104">
        <v>16260693.530179018</v>
      </c>
      <c r="G100" s="1045">
        <v>37879.125589369905</v>
      </c>
      <c r="H100" s="1045">
        <v>571.94869673148537</v>
      </c>
      <c r="I100" s="1045">
        <v>9420.8028316306008</v>
      </c>
      <c r="J100" s="1045">
        <v>816</v>
      </c>
      <c r="K100" s="1045">
        <v>4753466.1814534497</v>
      </c>
      <c r="L100" s="1045">
        <v>595557.84756711626</v>
      </c>
      <c r="M100" s="1045">
        <v>1665461.7728142848</v>
      </c>
      <c r="N100" s="1045">
        <v>1144098.0717231876</v>
      </c>
      <c r="O100" s="1045">
        <v>1876522.1650870387</v>
      </c>
      <c r="P100" s="1045">
        <v>951526.31680762395</v>
      </c>
      <c r="Q100" s="1045">
        <v>2605657.7258695289</v>
      </c>
      <c r="R100" s="1045">
        <v>2305672.4517390579</v>
      </c>
      <c r="S100" s="1045">
        <v>21049</v>
      </c>
      <c r="T100" s="1045">
        <v>21049</v>
      </c>
      <c r="U100" s="1045">
        <v>21049</v>
      </c>
      <c r="V100" s="1045">
        <v>17185</v>
      </c>
      <c r="W100" s="1045">
        <v>17185</v>
      </c>
      <c r="X100" s="1045">
        <v>17185</v>
      </c>
      <c r="Y100" s="1045">
        <v>17185</v>
      </c>
      <c r="Z100" s="1045">
        <v>17185</v>
      </c>
      <c r="AA100" s="1045">
        <v>21354</v>
      </c>
      <c r="AB100" s="1045">
        <v>14541</v>
      </c>
      <c r="AC100" s="1045">
        <v>14541</v>
      </c>
      <c r="AD100" s="1045">
        <v>14541</v>
      </c>
      <c r="AE100" s="1045">
        <v>14541</v>
      </c>
      <c r="AF100" s="1045">
        <v>21354</v>
      </c>
      <c r="AG100" s="1045">
        <v>15151</v>
      </c>
      <c r="AH100" s="1045">
        <v>15761</v>
      </c>
      <c r="AI100" s="1045">
        <v>16575</v>
      </c>
      <c r="AJ100" s="1045">
        <v>16612.120000000003</v>
      </c>
    </row>
    <row r="101" spans="1:36" s="1046" customFormat="1">
      <c r="A101" s="1097"/>
      <c r="B101" s="1097"/>
      <c r="C101" s="1098"/>
      <c r="D101" s="1099"/>
      <c r="E101" s="1054" t="s">
        <v>171</v>
      </c>
      <c r="F101" s="1100">
        <v>1091223.70474638</v>
      </c>
      <c r="G101" s="1045">
        <v>103861.73364609001</v>
      </c>
      <c r="H101" s="1045">
        <v>110919.47531407463</v>
      </c>
      <c r="I101" s="1045">
        <v>90097.25500327388</v>
      </c>
      <c r="J101" s="1045">
        <v>90097.25500327388</v>
      </c>
      <c r="K101" s="1045">
        <v>30650.551400054428</v>
      </c>
      <c r="L101" s="1045">
        <v>30650.551400054428</v>
      </c>
      <c r="M101" s="1045">
        <v>26054.346923076922</v>
      </c>
      <c r="N101" s="1045">
        <v>26054.346923076922</v>
      </c>
      <c r="O101" s="1045">
        <v>26054.346923076922</v>
      </c>
      <c r="P101" s="1045">
        <v>26054.346923076922</v>
      </c>
      <c r="Q101" s="1045">
        <v>26054.346923076922</v>
      </c>
      <c r="R101" s="1045">
        <v>26054.346923076922</v>
      </c>
      <c r="S101" s="1045">
        <v>26054.346923076922</v>
      </c>
      <c r="T101" s="1045">
        <v>26054.346923076922</v>
      </c>
      <c r="U101" s="1045">
        <v>26054.346923076922</v>
      </c>
      <c r="V101" s="1045">
        <v>26054.346923076922</v>
      </c>
      <c r="W101" s="1045">
        <v>26054.346923076922</v>
      </c>
      <c r="X101" s="1045">
        <v>26054.346923076922</v>
      </c>
      <c r="Y101" s="1045">
        <v>26054.346923076922</v>
      </c>
      <c r="Z101" s="1045">
        <v>26054.346923076922</v>
      </c>
      <c r="AA101" s="1045">
        <v>26054.346923076922</v>
      </c>
      <c r="AB101" s="1045">
        <v>26054.346923076922</v>
      </c>
      <c r="AC101" s="1045">
        <v>26054.346923076922</v>
      </c>
      <c r="AD101" s="1045">
        <v>26054.346923076922</v>
      </c>
      <c r="AE101" s="1045">
        <v>26054.346923076922</v>
      </c>
      <c r="AF101" s="1045">
        <v>26054.346923076922</v>
      </c>
      <c r="AG101" s="1045">
        <v>26054.346923076922</v>
      </c>
      <c r="AH101" s="1045">
        <v>26054.346923076922</v>
      </c>
      <c r="AI101" s="1045">
        <v>26054.346923076922</v>
      </c>
      <c r="AJ101" s="1045">
        <v>26054.346923076922</v>
      </c>
    </row>
    <row r="102" spans="1:36" s="1051" customFormat="1">
      <c r="A102" s="1101"/>
      <c r="B102" s="1101"/>
      <c r="C102" s="1102"/>
      <c r="D102" s="1103"/>
      <c r="E102" s="1058"/>
      <c r="F102" s="1104">
        <v>1091223.70474638</v>
      </c>
      <c r="G102" s="1045">
        <v>116954.72850141811</v>
      </c>
      <c r="H102" s="1045">
        <v>15284.203558129915</v>
      </c>
      <c r="I102" s="1045">
        <v>66314.391440752952</v>
      </c>
      <c r="J102" s="1045">
        <v>33061.865972076979</v>
      </c>
      <c r="K102" s="1045">
        <v>33061.865972076979</v>
      </c>
      <c r="L102" s="1045">
        <v>33061.865972076979</v>
      </c>
      <c r="M102" s="1045">
        <v>33061.865972076979</v>
      </c>
      <c r="N102" s="1045">
        <v>33061.865972076979</v>
      </c>
      <c r="O102" s="1045">
        <v>33061.865972076979</v>
      </c>
      <c r="P102" s="1045">
        <v>33061.865972076979</v>
      </c>
      <c r="Q102" s="1045">
        <v>33061.865972076979</v>
      </c>
      <c r="R102" s="1045">
        <v>33061.865972076979</v>
      </c>
      <c r="S102" s="1045">
        <v>33061.865972076979</v>
      </c>
      <c r="T102" s="1045">
        <v>33061.865972076979</v>
      </c>
      <c r="U102" s="1045">
        <v>33061.865972076979</v>
      </c>
      <c r="V102" s="1045">
        <v>33061.865972076979</v>
      </c>
      <c r="W102" s="1045">
        <v>33061.865972076979</v>
      </c>
      <c r="X102" s="1045">
        <v>33061.865972076979</v>
      </c>
      <c r="Y102" s="1045">
        <v>33061.865972076979</v>
      </c>
      <c r="Z102" s="1045">
        <v>33061.865972076979</v>
      </c>
      <c r="AA102" s="1045">
        <v>33061.865972076979</v>
      </c>
      <c r="AB102" s="1045">
        <v>33061.865972076979</v>
      </c>
      <c r="AC102" s="1045">
        <v>33061.865972076979</v>
      </c>
      <c r="AD102" s="1045">
        <v>33061.865972076979</v>
      </c>
      <c r="AE102" s="1045">
        <v>33061.865972076979</v>
      </c>
      <c r="AF102" s="1045">
        <v>33061.865972076979</v>
      </c>
      <c r="AG102" s="1045">
        <v>33061.865972076979</v>
      </c>
      <c r="AH102" s="1045">
        <v>33061.865972076979</v>
      </c>
      <c r="AI102" s="1045">
        <v>33061.865972076979</v>
      </c>
      <c r="AJ102" s="1045">
        <v>33061.865972076979</v>
      </c>
    </row>
    <row r="103" spans="1:36" s="1046" customFormat="1">
      <c r="A103" s="1097"/>
      <c r="B103" s="1097"/>
      <c r="C103" s="1098"/>
      <c r="D103" s="1099"/>
      <c r="E103" s="1054" t="s">
        <v>166</v>
      </c>
      <c r="F103" s="1100">
        <v>20611134.37371482</v>
      </c>
      <c r="G103" s="1045">
        <v>270885.25999503001</v>
      </c>
      <c r="H103" s="1045">
        <v>1008450.7752214939</v>
      </c>
      <c r="I103" s="1045">
        <v>257500.82739532314</v>
      </c>
      <c r="J103" s="1045">
        <v>6196107.6229871223</v>
      </c>
      <c r="K103" s="1045">
        <v>294716.12681132392</v>
      </c>
      <c r="L103" s="1045">
        <v>722688.96023730538</v>
      </c>
      <c r="M103" s="1045">
        <v>1284317.2074993858</v>
      </c>
      <c r="N103" s="1045">
        <v>1296693.2074993858</v>
      </c>
      <c r="O103" s="1045">
        <v>677379.20749938581</v>
      </c>
      <c r="P103" s="1045">
        <v>79739.755760327855</v>
      </c>
      <c r="Q103" s="1045">
        <v>69159.179793169838</v>
      </c>
      <c r="R103" s="1045">
        <v>67124.179793169838</v>
      </c>
      <c r="S103" s="1045">
        <v>67124.179793169838</v>
      </c>
      <c r="T103" s="1045">
        <v>67124.179793169838</v>
      </c>
      <c r="U103" s="1045">
        <v>67124.179793169838</v>
      </c>
      <c r="V103" s="1045">
        <v>61836.179793169838</v>
      </c>
      <c r="W103" s="1045">
        <v>61836.179793169838</v>
      </c>
      <c r="X103" s="1045">
        <v>61836.179793169838</v>
      </c>
      <c r="Y103" s="1045">
        <v>61836.179793169838</v>
      </c>
      <c r="Z103" s="1045">
        <v>61836.179793169838</v>
      </c>
      <c r="AA103" s="1045">
        <v>67531.179793169838</v>
      </c>
      <c r="AB103" s="1045">
        <v>58176.179793169831</v>
      </c>
      <c r="AC103" s="1045">
        <v>58176.179793169831</v>
      </c>
      <c r="AD103" s="1045">
        <v>58176.179793169831</v>
      </c>
      <c r="AE103" s="1045">
        <v>58176.179793169831</v>
      </c>
      <c r="AF103" s="1045">
        <v>67531.179793169838</v>
      </c>
      <c r="AG103" s="1045">
        <v>58990.179793169838</v>
      </c>
      <c r="AH103" s="1045">
        <v>59804.179793169838</v>
      </c>
      <c r="AI103" s="1045">
        <v>61022.179793169838</v>
      </c>
      <c r="AJ103" s="1045">
        <v>50446.179793169831</v>
      </c>
    </row>
    <row r="104" spans="1:36" s="1051" customFormat="1">
      <c r="A104" s="1101"/>
      <c r="B104" s="1101"/>
      <c r="C104" s="1102"/>
      <c r="D104" s="1103"/>
      <c r="E104" s="1048"/>
      <c r="F104" s="1104">
        <v>20517119.663628064</v>
      </c>
      <c r="G104" s="1045">
        <v>563262.22957299976</v>
      </c>
      <c r="H104" s="1045">
        <v>345639.16425320646</v>
      </c>
      <c r="I104" s="1045">
        <v>302337.51106105698</v>
      </c>
      <c r="J104" s="1045">
        <v>1393737.2138793978</v>
      </c>
      <c r="K104" s="1045">
        <v>5209890.1252055857</v>
      </c>
      <c r="L104" s="1045">
        <v>727898.33131925284</v>
      </c>
      <c r="M104" s="1045">
        <v>1713105.5265664214</v>
      </c>
      <c r="N104" s="1045">
        <v>1191741.8254753242</v>
      </c>
      <c r="O104" s="1045">
        <v>1924165.9188391753</v>
      </c>
      <c r="P104" s="1045">
        <v>999778.07055976056</v>
      </c>
      <c r="Q104" s="1045">
        <v>2653505.4796216656</v>
      </c>
      <c r="R104" s="1045">
        <v>2353010.2054911945</v>
      </c>
      <c r="S104" s="1045">
        <v>68386.753752136574</v>
      </c>
      <c r="T104" s="1045">
        <v>68386.753752136574</v>
      </c>
      <c r="U104" s="1045">
        <v>68386.753752136574</v>
      </c>
      <c r="V104" s="1045">
        <v>63098.753752136574</v>
      </c>
      <c r="W104" s="1045">
        <v>63098.753752136574</v>
      </c>
      <c r="X104" s="1045">
        <v>63098.753752136574</v>
      </c>
      <c r="Y104" s="1045">
        <v>63098.753752136574</v>
      </c>
      <c r="Z104" s="1045">
        <v>63098.753752136574</v>
      </c>
      <c r="AA104" s="1045">
        <v>68793.753752136574</v>
      </c>
      <c r="AB104" s="1045">
        <v>59438.753752136574</v>
      </c>
      <c r="AC104" s="1045">
        <v>59438.753752136574</v>
      </c>
      <c r="AD104" s="1045">
        <v>59438.753752136574</v>
      </c>
      <c r="AE104" s="1045">
        <v>59438.753752136574</v>
      </c>
      <c r="AF104" s="1045">
        <v>68793.753752136574</v>
      </c>
      <c r="AG104" s="1045">
        <v>60252.753752136574</v>
      </c>
      <c r="AH104" s="1045">
        <v>61066.753752136574</v>
      </c>
      <c r="AI104" s="1045">
        <v>62284.753752136574</v>
      </c>
      <c r="AJ104" s="1045">
        <v>59447.247996732927</v>
      </c>
    </row>
    <row r="105" spans="1:36">
      <c r="F105" s="1136">
        <f>F103-F104</f>
        <v>94014.710086755455</v>
      </c>
    </row>
    <row r="106" spans="1:36">
      <c r="B106" s="1133" t="s">
        <v>568</v>
      </c>
    </row>
    <row r="107" spans="1:36" ht="15">
      <c r="F107" s="1134">
        <v>13333345.710000001</v>
      </c>
      <c r="G107">
        <f>F104/F107</f>
        <v>1.538782546397206</v>
      </c>
    </row>
    <row r="108" spans="1:36" ht="13.5" thickBot="1"/>
    <row r="109" spans="1:36" ht="15.75" thickBot="1">
      <c r="B109" s="1137">
        <v>3971</v>
      </c>
      <c r="F109" s="1135">
        <f>F104-F107</f>
        <v>7183773.9536280632</v>
      </c>
    </row>
    <row r="110" spans="1:36" ht="15.75" thickBot="1">
      <c r="B110" s="1138">
        <v>520.82000000000005</v>
      </c>
    </row>
    <row r="111" spans="1:36" ht="15.75" thickBot="1">
      <c r="B111" s="1139">
        <v>142</v>
      </c>
    </row>
    <row r="112" spans="1:36" ht="15.75" thickBot="1">
      <c r="B112" s="1140">
        <v>1619</v>
      </c>
    </row>
    <row r="113" spans="2:4" ht="15.75" thickBot="1">
      <c r="B113" s="1141">
        <v>7334</v>
      </c>
      <c r="D113" s="1143">
        <v>24904955.52</v>
      </c>
    </row>
    <row r="114" spans="2:4" ht="15.75" thickBot="1">
      <c r="B114" s="1140">
        <v>3729</v>
      </c>
      <c r="D114" s="1144">
        <v>12074899.16</v>
      </c>
    </row>
    <row r="115" spans="2:4" ht="15.75" thickBot="1">
      <c r="B115" s="1141">
        <v>1524</v>
      </c>
      <c r="D115" s="1145">
        <v>20611134.370000001</v>
      </c>
    </row>
    <row r="116" spans="2:4" ht="15.75" thickBot="1">
      <c r="B116" s="1142">
        <v>654</v>
      </c>
    </row>
    <row r="117" spans="2:4" ht="15.75" thickBot="1">
      <c r="B117" s="1142">
        <f>SUM(B109:B116)</f>
        <v>19493.82</v>
      </c>
    </row>
    <row r="120" spans="2:4" ht="13.5" thickBot="1"/>
    <row r="121" spans="2:4" ht="15.75" thickBot="1">
      <c r="B121" s="1143">
        <v>22974264.289999999</v>
      </c>
    </row>
    <row r="122" spans="2:4" ht="15.75" thickBot="1">
      <c r="B122" s="1144">
        <v>9622284</v>
      </c>
    </row>
    <row r="123" spans="2:4" ht="15.75" thickBot="1">
      <c r="B123" s="1145">
        <v>20517119.66</v>
      </c>
    </row>
    <row r="124" spans="2:4" ht="15.75" thickBot="1">
      <c r="B124" s="1144">
        <v>4372356.78</v>
      </c>
    </row>
    <row r="125" spans="2:4" ht="15.75" thickBot="1">
      <c r="B125" s="1144">
        <f>SUM(B121:B124)</f>
        <v>57486024.730000004</v>
      </c>
    </row>
  </sheetData>
  <mergeCells count="103">
    <mergeCell ref="A76:A77"/>
    <mergeCell ref="B76:B77"/>
    <mergeCell ref="A78:A79"/>
    <mergeCell ref="B78:B79"/>
    <mergeCell ref="B80:B81"/>
    <mergeCell ref="C71:C72"/>
    <mergeCell ref="D71:D72"/>
    <mergeCell ref="C73:C74"/>
    <mergeCell ref="D73:D74"/>
    <mergeCell ref="B71:B72"/>
    <mergeCell ref="B73:B74"/>
    <mergeCell ref="A91:A92"/>
    <mergeCell ref="B91:B92"/>
    <mergeCell ref="A94:A95"/>
    <mergeCell ref="B94:B95"/>
    <mergeCell ref="D80:D81"/>
    <mergeCell ref="B82:B83"/>
    <mergeCell ref="D82:D83"/>
    <mergeCell ref="A85:A86"/>
    <mergeCell ref="B85:B86"/>
    <mergeCell ref="A88:A89"/>
    <mergeCell ref="B88:B89"/>
    <mergeCell ref="C80:C81"/>
    <mergeCell ref="C67:C68"/>
    <mergeCell ref="D67:D68"/>
    <mergeCell ref="C69:C70"/>
    <mergeCell ref="D69:D70"/>
    <mergeCell ref="B67:B68"/>
    <mergeCell ref="B69:B70"/>
    <mergeCell ref="A61:A62"/>
    <mergeCell ref="B61:B62"/>
    <mergeCell ref="B63:B64"/>
    <mergeCell ref="C63:C64"/>
    <mergeCell ref="D63:D64"/>
    <mergeCell ref="C65:C66"/>
    <mergeCell ref="D65:D66"/>
    <mergeCell ref="B48:B49"/>
    <mergeCell ref="C48:C49"/>
    <mergeCell ref="D48:D49"/>
    <mergeCell ref="B50:B51"/>
    <mergeCell ref="D50:D51"/>
    <mergeCell ref="B52:B53"/>
    <mergeCell ref="C52:C53"/>
    <mergeCell ref="D52:D53"/>
    <mergeCell ref="B65:B66"/>
    <mergeCell ref="B54:B55"/>
    <mergeCell ref="C54:C55"/>
    <mergeCell ref="D54:D55"/>
    <mergeCell ref="B56:B57"/>
    <mergeCell ref="C56:C57"/>
    <mergeCell ref="D56:D57"/>
    <mergeCell ref="B58:B59"/>
    <mergeCell ref="C58:C59"/>
    <mergeCell ref="D58:D59"/>
    <mergeCell ref="B41:B42"/>
    <mergeCell ref="C41:C42"/>
    <mergeCell ref="D41:D42"/>
    <mergeCell ref="B44:B45"/>
    <mergeCell ref="A46:A47"/>
    <mergeCell ref="B46:B47"/>
    <mergeCell ref="B37:B38"/>
    <mergeCell ref="C37:C38"/>
    <mergeCell ref="D37:D38"/>
    <mergeCell ref="B39:B40"/>
    <mergeCell ref="C39:C40"/>
    <mergeCell ref="D39:D40"/>
    <mergeCell ref="D30:D31"/>
    <mergeCell ref="B32:B33"/>
    <mergeCell ref="C32:C33"/>
    <mergeCell ref="D32:D33"/>
    <mergeCell ref="A35:A36"/>
    <mergeCell ref="B35:B36"/>
    <mergeCell ref="C30:C31"/>
    <mergeCell ref="A23:A24"/>
    <mergeCell ref="B23:B24"/>
    <mergeCell ref="A28:A29"/>
    <mergeCell ref="B28:B29"/>
    <mergeCell ref="B30:B31"/>
    <mergeCell ref="B18:B19"/>
    <mergeCell ref="C18:C19"/>
    <mergeCell ref="D18:D19"/>
    <mergeCell ref="B20:B21"/>
    <mergeCell ref="C20:C21"/>
    <mergeCell ref="D20:D21"/>
    <mergeCell ref="B14:B15"/>
    <mergeCell ref="C14:C15"/>
    <mergeCell ref="D14:D15"/>
    <mergeCell ref="B16:B17"/>
    <mergeCell ref="C16:C17"/>
    <mergeCell ref="D16:D17"/>
    <mergeCell ref="D8:D9"/>
    <mergeCell ref="B10:B11"/>
    <mergeCell ref="C10:C11"/>
    <mergeCell ref="D10:D11"/>
    <mergeCell ref="B12:B13"/>
    <mergeCell ref="C12:C13"/>
    <mergeCell ref="D12:D13"/>
    <mergeCell ref="C8:C9"/>
    <mergeCell ref="A4:A5"/>
    <mergeCell ref="B4:B5"/>
    <mergeCell ref="A6:A7"/>
    <mergeCell ref="B6:B7"/>
    <mergeCell ref="B8:B9"/>
  </mergeCells>
  <conditionalFormatting sqref="G2:P3 Q3:AJ3">
    <cfRule type="cellIs" dxfId="4" priority="1" stopIfTrue="1" operator="equal">
      <formula>"N"</formula>
    </cfRule>
  </conditionalFormatting>
  <pageMargins left="0.511811024" right="0.511811024" top="0.78740157499999996" bottom="0.78740157499999996" header="0.31496062000000002" footer="0.31496062000000002"/>
  <drawing r:id="rId1"/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52">
    <tabColor rgb="FF7030A0"/>
  </sheetPr>
  <dimension ref="A1:CI76"/>
  <sheetViews>
    <sheetView showGridLines="0" topLeftCell="A17" zoomScale="80" zoomScaleNormal="80" workbookViewId="0">
      <selection activeCell="B11" sqref="B11"/>
    </sheetView>
  </sheetViews>
  <sheetFormatPr defaultRowHeight="12.75"/>
  <cols>
    <col min="1" max="1" width="2.7109375" style="203" customWidth="1"/>
    <col min="2" max="2" width="5.42578125" style="172" customWidth="1"/>
    <col min="3" max="3" width="61.7109375" style="172" bestFit="1" customWidth="1"/>
    <col min="4" max="4" width="9.42578125" style="201" bestFit="1" customWidth="1"/>
    <col min="5" max="5" width="7.140625" style="774" bestFit="1" customWidth="1"/>
    <col min="6" max="6" width="15.28515625" style="172" bestFit="1" customWidth="1"/>
    <col min="7" max="7" width="19.42578125" style="172" bestFit="1" customWidth="1"/>
    <col min="8" max="8" width="9.28515625" style="172" bestFit="1" customWidth="1"/>
    <col min="9" max="9" width="19.85546875" style="171" customWidth="1"/>
    <col min="10" max="11" width="16" style="171" bestFit="1" customWidth="1"/>
    <col min="12" max="12" width="17.7109375" style="171" bestFit="1" customWidth="1"/>
    <col min="13" max="13" width="18" style="171" bestFit="1" customWidth="1"/>
    <col min="14" max="14" width="16.42578125" style="171" bestFit="1" customWidth="1"/>
    <col min="15" max="15" width="18" style="171" bestFit="1" customWidth="1"/>
    <col min="16" max="17" width="17.7109375" style="171" bestFit="1" customWidth="1"/>
    <col min="18" max="18" width="16.42578125" style="171" bestFit="1" customWidth="1"/>
    <col min="19" max="19" width="57.85546875" style="171" bestFit="1" customWidth="1"/>
    <col min="20" max="20" width="18.42578125" style="171" bestFit="1" customWidth="1"/>
    <col min="21" max="28" width="15.140625" style="171" bestFit="1" customWidth="1"/>
    <col min="29" max="29" width="16.42578125" style="171" customWidth="1"/>
    <col min="30" max="35" width="15.140625" style="171" bestFit="1" customWidth="1"/>
    <col min="36" max="36" width="14.85546875" style="171" bestFit="1" customWidth="1"/>
    <col min="37" max="38" width="15.140625" style="171" bestFit="1" customWidth="1"/>
    <col min="39" max="39" width="2.7109375" style="172" customWidth="1"/>
    <col min="40" max="40" width="9.28515625" style="483" bestFit="1" customWidth="1"/>
    <col min="41" max="87" width="9.140625" style="172"/>
    <col min="88" max="256" width="9.140625" style="157"/>
    <col min="257" max="257" width="9.140625" style="157" customWidth="1"/>
    <col min="258" max="258" width="8" style="157" customWidth="1"/>
    <col min="259" max="259" width="34" style="157" customWidth="1"/>
    <col min="260" max="260" width="10.5703125" style="157" customWidth="1"/>
    <col min="261" max="261" width="9.140625" style="157"/>
    <col min="262" max="263" width="12.42578125" style="157" customWidth="1"/>
    <col min="264" max="264" width="1.42578125" style="157" customWidth="1"/>
    <col min="265" max="265" width="12" style="157" customWidth="1"/>
    <col min="266" max="266" width="12.42578125" style="157" customWidth="1"/>
    <col min="267" max="267" width="12.28515625" style="157" customWidth="1"/>
    <col min="268" max="293" width="9.140625" style="157" customWidth="1"/>
    <col min="294" max="294" width="13.28515625" style="157" customWidth="1"/>
    <col min="295" max="512" width="9.140625" style="157"/>
    <col min="513" max="513" width="9.140625" style="157" customWidth="1"/>
    <col min="514" max="514" width="8" style="157" customWidth="1"/>
    <col min="515" max="515" width="34" style="157" customWidth="1"/>
    <col min="516" max="516" width="10.5703125" style="157" customWidth="1"/>
    <col min="517" max="517" width="9.140625" style="157"/>
    <col min="518" max="519" width="12.42578125" style="157" customWidth="1"/>
    <col min="520" max="520" width="1.42578125" style="157" customWidth="1"/>
    <col min="521" max="521" width="12" style="157" customWidth="1"/>
    <col min="522" max="522" width="12.42578125" style="157" customWidth="1"/>
    <col min="523" max="523" width="12.28515625" style="157" customWidth="1"/>
    <col min="524" max="549" width="9.140625" style="157" customWidth="1"/>
    <col min="550" max="550" width="13.28515625" style="157" customWidth="1"/>
    <col min="551" max="768" width="9.140625" style="157"/>
    <col min="769" max="769" width="9.140625" style="157" customWidth="1"/>
    <col min="770" max="770" width="8" style="157" customWidth="1"/>
    <col min="771" max="771" width="34" style="157" customWidth="1"/>
    <col min="772" max="772" width="10.5703125" style="157" customWidth="1"/>
    <col min="773" max="773" width="9.140625" style="157"/>
    <col min="774" max="775" width="12.42578125" style="157" customWidth="1"/>
    <col min="776" max="776" width="1.42578125" style="157" customWidth="1"/>
    <col min="777" max="777" width="12" style="157" customWidth="1"/>
    <col min="778" max="778" width="12.42578125" style="157" customWidth="1"/>
    <col min="779" max="779" width="12.28515625" style="157" customWidth="1"/>
    <col min="780" max="805" width="9.140625" style="157" customWidth="1"/>
    <col min="806" max="806" width="13.28515625" style="157" customWidth="1"/>
    <col min="807" max="1024" width="9.140625" style="157"/>
    <col min="1025" max="1025" width="9.140625" style="157" customWidth="1"/>
    <col min="1026" max="1026" width="8" style="157" customWidth="1"/>
    <col min="1027" max="1027" width="34" style="157" customWidth="1"/>
    <col min="1028" max="1028" width="10.5703125" style="157" customWidth="1"/>
    <col min="1029" max="1029" width="9.140625" style="157"/>
    <col min="1030" max="1031" width="12.42578125" style="157" customWidth="1"/>
    <col min="1032" max="1032" width="1.42578125" style="157" customWidth="1"/>
    <col min="1033" max="1033" width="12" style="157" customWidth="1"/>
    <col min="1034" max="1034" width="12.42578125" style="157" customWidth="1"/>
    <col min="1035" max="1035" width="12.28515625" style="157" customWidth="1"/>
    <col min="1036" max="1061" width="9.140625" style="157" customWidth="1"/>
    <col min="1062" max="1062" width="13.28515625" style="157" customWidth="1"/>
    <col min="1063" max="1280" width="9.140625" style="157"/>
    <col min="1281" max="1281" width="9.140625" style="157" customWidth="1"/>
    <col min="1282" max="1282" width="8" style="157" customWidth="1"/>
    <col min="1283" max="1283" width="34" style="157" customWidth="1"/>
    <col min="1284" max="1284" width="10.5703125" style="157" customWidth="1"/>
    <col min="1285" max="1285" width="9.140625" style="157"/>
    <col min="1286" max="1287" width="12.42578125" style="157" customWidth="1"/>
    <col min="1288" max="1288" width="1.42578125" style="157" customWidth="1"/>
    <col min="1289" max="1289" width="12" style="157" customWidth="1"/>
    <col min="1290" max="1290" width="12.42578125" style="157" customWidth="1"/>
    <col min="1291" max="1291" width="12.28515625" style="157" customWidth="1"/>
    <col min="1292" max="1317" width="9.140625" style="157" customWidth="1"/>
    <col min="1318" max="1318" width="13.28515625" style="157" customWidth="1"/>
    <col min="1319" max="1536" width="9.140625" style="157"/>
    <col min="1537" max="1537" width="9.140625" style="157" customWidth="1"/>
    <col min="1538" max="1538" width="8" style="157" customWidth="1"/>
    <col min="1539" max="1539" width="34" style="157" customWidth="1"/>
    <col min="1540" max="1540" width="10.5703125" style="157" customWidth="1"/>
    <col min="1541" max="1541" width="9.140625" style="157"/>
    <col min="1542" max="1543" width="12.42578125" style="157" customWidth="1"/>
    <col min="1544" max="1544" width="1.42578125" style="157" customWidth="1"/>
    <col min="1545" max="1545" width="12" style="157" customWidth="1"/>
    <col min="1546" max="1546" width="12.42578125" style="157" customWidth="1"/>
    <col min="1547" max="1547" width="12.28515625" style="157" customWidth="1"/>
    <col min="1548" max="1573" width="9.140625" style="157" customWidth="1"/>
    <col min="1574" max="1574" width="13.28515625" style="157" customWidth="1"/>
    <col min="1575" max="1792" width="9.140625" style="157"/>
    <col min="1793" max="1793" width="9.140625" style="157" customWidth="1"/>
    <col min="1794" max="1794" width="8" style="157" customWidth="1"/>
    <col min="1795" max="1795" width="34" style="157" customWidth="1"/>
    <col min="1796" max="1796" width="10.5703125" style="157" customWidth="1"/>
    <col min="1797" max="1797" width="9.140625" style="157"/>
    <col min="1798" max="1799" width="12.42578125" style="157" customWidth="1"/>
    <col min="1800" max="1800" width="1.42578125" style="157" customWidth="1"/>
    <col min="1801" max="1801" width="12" style="157" customWidth="1"/>
    <col min="1802" max="1802" width="12.42578125" style="157" customWidth="1"/>
    <col min="1803" max="1803" width="12.28515625" style="157" customWidth="1"/>
    <col min="1804" max="1829" width="9.140625" style="157" customWidth="1"/>
    <col min="1830" max="1830" width="13.28515625" style="157" customWidth="1"/>
    <col min="1831" max="2048" width="9.140625" style="157"/>
    <col min="2049" max="2049" width="9.140625" style="157" customWidth="1"/>
    <col min="2050" max="2050" width="8" style="157" customWidth="1"/>
    <col min="2051" max="2051" width="34" style="157" customWidth="1"/>
    <col min="2052" max="2052" width="10.5703125" style="157" customWidth="1"/>
    <col min="2053" max="2053" width="9.140625" style="157"/>
    <col min="2054" max="2055" width="12.42578125" style="157" customWidth="1"/>
    <col min="2056" max="2056" width="1.42578125" style="157" customWidth="1"/>
    <col min="2057" max="2057" width="12" style="157" customWidth="1"/>
    <col min="2058" max="2058" width="12.42578125" style="157" customWidth="1"/>
    <col min="2059" max="2059" width="12.28515625" style="157" customWidth="1"/>
    <col min="2060" max="2085" width="9.140625" style="157" customWidth="1"/>
    <col min="2086" max="2086" width="13.28515625" style="157" customWidth="1"/>
    <col min="2087" max="2304" width="9.140625" style="157"/>
    <col min="2305" max="2305" width="9.140625" style="157" customWidth="1"/>
    <col min="2306" max="2306" width="8" style="157" customWidth="1"/>
    <col min="2307" max="2307" width="34" style="157" customWidth="1"/>
    <col min="2308" max="2308" width="10.5703125" style="157" customWidth="1"/>
    <col min="2309" max="2309" width="9.140625" style="157"/>
    <col min="2310" max="2311" width="12.42578125" style="157" customWidth="1"/>
    <col min="2312" max="2312" width="1.42578125" style="157" customWidth="1"/>
    <col min="2313" max="2313" width="12" style="157" customWidth="1"/>
    <col min="2314" max="2314" width="12.42578125" style="157" customWidth="1"/>
    <col min="2315" max="2315" width="12.28515625" style="157" customWidth="1"/>
    <col min="2316" max="2341" width="9.140625" style="157" customWidth="1"/>
    <col min="2342" max="2342" width="13.28515625" style="157" customWidth="1"/>
    <col min="2343" max="2560" width="9.140625" style="157"/>
    <col min="2561" max="2561" width="9.140625" style="157" customWidth="1"/>
    <col min="2562" max="2562" width="8" style="157" customWidth="1"/>
    <col min="2563" max="2563" width="34" style="157" customWidth="1"/>
    <col min="2564" max="2564" width="10.5703125" style="157" customWidth="1"/>
    <col min="2565" max="2565" width="9.140625" style="157"/>
    <col min="2566" max="2567" width="12.42578125" style="157" customWidth="1"/>
    <col min="2568" max="2568" width="1.42578125" style="157" customWidth="1"/>
    <col min="2569" max="2569" width="12" style="157" customWidth="1"/>
    <col min="2570" max="2570" width="12.42578125" style="157" customWidth="1"/>
    <col min="2571" max="2571" width="12.28515625" style="157" customWidth="1"/>
    <col min="2572" max="2597" width="9.140625" style="157" customWidth="1"/>
    <col min="2598" max="2598" width="13.28515625" style="157" customWidth="1"/>
    <col min="2599" max="2816" width="9.140625" style="157"/>
    <col min="2817" max="2817" width="9.140625" style="157" customWidth="1"/>
    <col min="2818" max="2818" width="8" style="157" customWidth="1"/>
    <col min="2819" max="2819" width="34" style="157" customWidth="1"/>
    <col min="2820" max="2820" width="10.5703125" style="157" customWidth="1"/>
    <col min="2821" max="2821" width="9.140625" style="157"/>
    <col min="2822" max="2823" width="12.42578125" style="157" customWidth="1"/>
    <col min="2824" max="2824" width="1.42578125" style="157" customWidth="1"/>
    <col min="2825" max="2825" width="12" style="157" customWidth="1"/>
    <col min="2826" max="2826" width="12.42578125" style="157" customWidth="1"/>
    <col min="2827" max="2827" width="12.28515625" style="157" customWidth="1"/>
    <col min="2828" max="2853" width="9.140625" style="157" customWidth="1"/>
    <col min="2854" max="2854" width="13.28515625" style="157" customWidth="1"/>
    <col min="2855" max="3072" width="9.140625" style="157"/>
    <col min="3073" max="3073" width="9.140625" style="157" customWidth="1"/>
    <col min="3074" max="3074" width="8" style="157" customWidth="1"/>
    <col min="3075" max="3075" width="34" style="157" customWidth="1"/>
    <col min="3076" max="3076" width="10.5703125" style="157" customWidth="1"/>
    <col min="3077" max="3077" width="9.140625" style="157"/>
    <col min="3078" max="3079" width="12.42578125" style="157" customWidth="1"/>
    <col min="3080" max="3080" width="1.42578125" style="157" customWidth="1"/>
    <col min="3081" max="3081" width="12" style="157" customWidth="1"/>
    <col min="3082" max="3082" width="12.42578125" style="157" customWidth="1"/>
    <col min="3083" max="3083" width="12.28515625" style="157" customWidth="1"/>
    <col min="3084" max="3109" width="9.140625" style="157" customWidth="1"/>
    <col min="3110" max="3110" width="13.28515625" style="157" customWidth="1"/>
    <col min="3111" max="3328" width="9.140625" style="157"/>
    <col min="3329" max="3329" width="9.140625" style="157" customWidth="1"/>
    <col min="3330" max="3330" width="8" style="157" customWidth="1"/>
    <col min="3331" max="3331" width="34" style="157" customWidth="1"/>
    <col min="3332" max="3332" width="10.5703125" style="157" customWidth="1"/>
    <col min="3333" max="3333" width="9.140625" style="157"/>
    <col min="3334" max="3335" width="12.42578125" style="157" customWidth="1"/>
    <col min="3336" max="3336" width="1.42578125" style="157" customWidth="1"/>
    <col min="3337" max="3337" width="12" style="157" customWidth="1"/>
    <col min="3338" max="3338" width="12.42578125" style="157" customWidth="1"/>
    <col min="3339" max="3339" width="12.28515625" style="157" customWidth="1"/>
    <col min="3340" max="3365" width="9.140625" style="157" customWidth="1"/>
    <col min="3366" max="3366" width="13.28515625" style="157" customWidth="1"/>
    <col min="3367" max="3584" width="9.140625" style="157"/>
    <col min="3585" max="3585" width="9.140625" style="157" customWidth="1"/>
    <col min="3586" max="3586" width="8" style="157" customWidth="1"/>
    <col min="3587" max="3587" width="34" style="157" customWidth="1"/>
    <col min="3588" max="3588" width="10.5703125" style="157" customWidth="1"/>
    <col min="3589" max="3589" width="9.140625" style="157"/>
    <col min="3590" max="3591" width="12.42578125" style="157" customWidth="1"/>
    <col min="3592" max="3592" width="1.42578125" style="157" customWidth="1"/>
    <col min="3593" max="3593" width="12" style="157" customWidth="1"/>
    <col min="3594" max="3594" width="12.42578125" style="157" customWidth="1"/>
    <col min="3595" max="3595" width="12.28515625" style="157" customWidth="1"/>
    <col min="3596" max="3621" width="9.140625" style="157" customWidth="1"/>
    <col min="3622" max="3622" width="13.28515625" style="157" customWidth="1"/>
    <col min="3623" max="3840" width="9.140625" style="157"/>
    <col min="3841" max="3841" width="9.140625" style="157" customWidth="1"/>
    <col min="3842" max="3842" width="8" style="157" customWidth="1"/>
    <col min="3843" max="3843" width="34" style="157" customWidth="1"/>
    <col min="3844" max="3844" width="10.5703125" style="157" customWidth="1"/>
    <col min="3845" max="3845" width="9.140625" style="157"/>
    <col min="3846" max="3847" width="12.42578125" style="157" customWidth="1"/>
    <col min="3848" max="3848" width="1.42578125" style="157" customWidth="1"/>
    <col min="3849" max="3849" width="12" style="157" customWidth="1"/>
    <col min="3850" max="3850" width="12.42578125" style="157" customWidth="1"/>
    <col min="3851" max="3851" width="12.28515625" style="157" customWidth="1"/>
    <col min="3852" max="3877" width="9.140625" style="157" customWidth="1"/>
    <col min="3878" max="3878" width="13.28515625" style="157" customWidth="1"/>
    <col min="3879" max="4096" width="9.140625" style="157"/>
    <col min="4097" max="4097" width="9.140625" style="157" customWidth="1"/>
    <col min="4098" max="4098" width="8" style="157" customWidth="1"/>
    <col min="4099" max="4099" width="34" style="157" customWidth="1"/>
    <col min="4100" max="4100" width="10.5703125" style="157" customWidth="1"/>
    <col min="4101" max="4101" width="9.140625" style="157"/>
    <col min="4102" max="4103" width="12.42578125" style="157" customWidth="1"/>
    <col min="4104" max="4104" width="1.42578125" style="157" customWidth="1"/>
    <col min="4105" max="4105" width="12" style="157" customWidth="1"/>
    <col min="4106" max="4106" width="12.42578125" style="157" customWidth="1"/>
    <col min="4107" max="4107" width="12.28515625" style="157" customWidth="1"/>
    <col min="4108" max="4133" width="9.140625" style="157" customWidth="1"/>
    <col min="4134" max="4134" width="13.28515625" style="157" customWidth="1"/>
    <col min="4135" max="4352" width="9.140625" style="157"/>
    <col min="4353" max="4353" width="9.140625" style="157" customWidth="1"/>
    <col min="4354" max="4354" width="8" style="157" customWidth="1"/>
    <col min="4355" max="4355" width="34" style="157" customWidth="1"/>
    <col min="4356" max="4356" width="10.5703125" style="157" customWidth="1"/>
    <col min="4357" max="4357" width="9.140625" style="157"/>
    <col min="4358" max="4359" width="12.42578125" style="157" customWidth="1"/>
    <col min="4360" max="4360" width="1.42578125" style="157" customWidth="1"/>
    <col min="4361" max="4361" width="12" style="157" customWidth="1"/>
    <col min="4362" max="4362" width="12.42578125" style="157" customWidth="1"/>
    <col min="4363" max="4363" width="12.28515625" style="157" customWidth="1"/>
    <col min="4364" max="4389" width="9.140625" style="157" customWidth="1"/>
    <col min="4390" max="4390" width="13.28515625" style="157" customWidth="1"/>
    <col min="4391" max="4608" width="9.140625" style="157"/>
    <col min="4609" max="4609" width="9.140625" style="157" customWidth="1"/>
    <col min="4610" max="4610" width="8" style="157" customWidth="1"/>
    <col min="4611" max="4611" width="34" style="157" customWidth="1"/>
    <col min="4612" max="4612" width="10.5703125" style="157" customWidth="1"/>
    <col min="4613" max="4613" width="9.140625" style="157"/>
    <col min="4614" max="4615" width="12.42578125" style="157" customWidth="1"/>
    <col min="4616" max="4616" width="1.42578125" style="157" customWidth="1"/>
    <col min="4617" max="4617" width="12" style="157" customWidth="1"/>
    <col min="4618" max="4618" width="12.42578125" style="157" customWidth="1"/>
    <col min="4619" max="4619" width="12.28515625" style="157" customWidth="1"/>
    <col min="4620" max="4645" width="9.140625" style="157" customWidth="1"/>
    <col min="4646" max="4646" width="13.28515625" style="157" customWidth="1"/>
    <col min="4647" max="4864" width="9.140625" style="157"/>
    <col min="4865" max="4865" width="9.140625" style="157" customWidth="1"/>
    <col min="4866" max="4866" width="8" style="157" customWidth="1"/>
    <col min="4867" max="4867" width="34" style="157" customWidth="1"/>
    <col min="4868" max="4868" width="10.5703125" style="157" customWidth="1"/>
    <col min="4869" max="4869" width="9.140625" style="157"/>
    <col min="4870" max="4871" width="12.42578125" style="157" customWidth="1"/>
    <col min="4872" max="4872" width="1.42578125" style="157" customWidth="1"/>
    <col min="4873" max="4873" width="12" style="157" customWidth="1"/>
    <col min="4874" max="4874" width="12.42578125" style="157" customWidth="1"/>
    <col min="4875" max="4875" width="12.28515625" style="157" customWidth="1"/>
    <col min="4876" max="4901" width="9.140625" style="157" customWidth="1"/>
    <col min="4902" max="4902" width="13.28515625" style="157" customWidth="1"/>
    <col min="4903" max="5120" width="9.140625" style="157"/>
    <col min="5121" max="5121" width="9.140625" style="157" customWidth="1"/>
    <col min="5122" max="5122" width="8" style="157" customWidth="1"/>
    <col min="5123" max="5123" width="34" style="157" customWidth="1"/>
    <col min="5124" max="5124" width="10.5703125" style="157" customWidth="1"/>
    <col min="5125" max="5125" width="9.140625" style="157"/>
    <col min="5126" max="5127" width="12.42578125" style="157" customWidth="1"/>
    <col min="5128" max="5128" width="1.42578125" style="157" customWidth="1"/>
    <col min="5129" max="5129" width="12" style="157" customWidth="1"/>
    <col min="5130" max="5130" width="12.42578125" style="157" customWidth="1"/>
    <col min="5131" max="5131" width="12.28515625" style="157" customWidth="1"/>
    <col min="5132" max="5157" width="9.140625" style="157" customWidth="1"/>
    <col min="5158" max="5158" width="13.28515625" style="157" customWidth="1"/>
    <col min="5159" max="5376" width="9.140625" style="157"/>
    <col min="5377" max="5377" width="9.140625" style="157" customWidth="1"/>
    <col min="5378" max="5378" width="8" style="157" customWidth="1"/>
    <col min="5379" max="5379" width="34" style="157" customWidth="1"/>
    <col min="5380" max="5380" width="10.5703125" style="157" customWidth="1"/>
    <col min="5381" max="5381" width="9.140625" style="157"/>
    <col min="5382" max="5383" width="12.42578125" style="157" customWidth="1"/>
    <col min="5384" max="5384" width="1.42578125" style="157" customWidth="1"/>
    <col min="5385" max="5385" width="12" style="157" customWidth="1"/>
    <col min="5386" max="5386" width="12.42578125" style="157" customWidth="1"/>
    <col min="5387" max="5387" width="12.28515625" style="157" customWidth="1"/>
    <col min="5388" max="5413" width="9.140625" style="157" customWidth="1"/>
    <col min="5414" max="5414" width="13.28515625" style="157" customWidth="1"/>
    <col min="5415" max="5632" width="9.140625" style="157"/>
    <col min="5633" max="5633" width="9.140625" style="157" customWidth="1"/>
    <col min="5634" max="5634" width="8" style="157" customWidth="1"/>
    <col min="5635" max="5635" width="34" style="157" customWidth="1"/>
    <col min="5636" max="5636" width="10.5703125" style="157" customWidth="1"/>
    <col min="5637" max="5637" width="9.140625" style="157"/>
    <col min="5638" max="5639" width="12.42578125" style="157" customWidth="1"/>
    <col min="5640" max="5640" width="1.42578125" style="157" customWidth="1"/>
    <col min="5641" max="5641" width="12" style="157" customWidth="1"/>
    <col min="5642" max="5642" width="12.42578125" style="157" customWidth="1"/>
    <col min="5643" max="5643" width="12.28515625" style="157" customWidth="1"/>
    <col min="5644" max="5669" width="9.140625" style="157" customWidth="1"/>
    <col min="5670" max="5670" width="13.28515625" style="157" customWidth="1"/>
    <col min="5671" max="5888" width="9.140625" style="157"/>
    <col min="5889" max="5889" width="9.140625" style="157" customWidth="1"/>
    <col min="5890" max="5890" width="8" style="157" customWidth="1"/>
    <col min="5891" max="5891" width="34" style="157" customWidth="1"/>
    <col min="5892" max="5892" width="10.5703125" style="157" customWidth="1"/>
    <col min="5893" max="5893" width="9.140625" style="157"/>
    <col min="5894" max="5895" width="12.42578125" style="157" customWidth="1"/>
    <col min="5896" max="5896" width="1.42578125" style="157" customWidth="1"/>
    <col min="5897" max="5897" width="12" style="157" customWidth="1"/>
    <col min="5898" max="5898" width="12.42578125" style="157" customWidth="1"/>
    <col min="5899" max="5899" width="12.28515625" style="157" customWidth="1"/>
    <col min="5900" max="5925" width="9.140625" style="157" customWidth="1"/>
    <col min="5926" max="5926" width="13.28515625" style="157" customWidth="1"/>
    <col min="5927" max="6144" width="9.140625" style="157"/>
    <col min="6145" max="6145" width="9.140625" style="157" customWidth="1"/>
    <col min="6146" max="6146" width="8" style="157" customWidth="1"/>
    <col min="6147" max="6147" width="34" style="157" customWidth="1"/>
    <col min="6148" max="6148" width="10.5703125" style="157" customWidth="1"/>
    <col min="6149" max="6149" width="9.140625" style="157"/>
    <col min="6150" max="6151" width="12.42578125" style="157" customWidth="1"/>
    <col min="6152" max="6152" width="1.42578125" style="157" customWidth="1"/>
    <col min="6153" max="6153" width="12" style="157" customWidth="1"/>
    <col min="6154" max="6154" width="12.42578125" style="157" customWidth="1"/>
    <col min="6155" max="6155" width="12.28515625" style="157" customWidth="1"/>
    <col min="6156" max="6181" width="9.140625" style="157" customWidth="1"/>
    <col min="6182" max="6182" width="13.28515625" style="157" customWidth="1"/>
    <col min="6183" max="6400" width="9.140625" style="157"/>
    <col min="6401" max="6401" width="9.140625" style="157" customWidth="1"/>
    <col min="6402" max="6402" width="8" style="157" customWidth="1"/>
    <col min="6403" max="6403" width="34" style="157" customWidth="1"/>
    <col min="6404" max="6404" width="10.5703125" style="157" customWidth="1"/>
    <col min="6405" max="6405" width="9.140625" style="157"/>
    <col min="6406" max="6407" width="12.42578125" style="157" customWidth="1"/>
    <col min="6408" max="6408" width="1.42578125" style="157" customWidth="1"/>
    <col min="6409" max="6409" width="12" style="157" customWidth="1"/>
    <col min="6410" max="6410" width="12.42578125" style="157" customWidth="1"/>
    <col min="6411" max="6411" width="12.28515625" style="157" customWidth="1"/>
    <col min="6412" max="6437" width="9.140625" style="157" customWidth="1"/>
    <col min="6438" max="6438" width="13.28515625" style="157" customWidth="1"/>
    <col min="6439" max="6656" width="9.140625" style="157"/>
    <col min="6657" max="6657" width="9.140625" style="157" customWidth="1"/>
    <col min="6658" max="6658" width="8" style="157" customWidth="1"/>
    <col min="6659" max="6659" width="34" style="157" customWidth="1"/>
    <col min="6660" max="6660" width="10.5703125" style="157" customWidth="1"/>
    <col min="6661" max="6661" width="9.140625" style="157"/>
    <col min="6662" max="6663" width="12.42578125" style="157" customWidth="1"/>
    <col min="6664" max="6664" width="1.42578125" style="157" customWidth="1"/>
    <col min="6665" max="6665" width="12" style="157" customWidth="1"/>
    <col min="6666" max="6666" width="12.42578125" style="157" customWidth="1"/>
    <col min="6667" max="6667" width="12.28515625" style="157" customWidth="1"/>
    <col min="6668" max="6693" width="9.140625" style="157" customWidth="1"/>
    <col min="6694" max="6694" width="13.28515625" style="157" customWidth="1"/>
    <col min="6695" max="6912" width="9.140625" style="157"/>
    <col min="6913" max="6913" width="9.140625" style="157" customWidth="1"/>
    <col min="6914" max="6914" width="8" style="157" customWidth="1"/>
    <col min="6915" max="6915" width="34" style="157" customWidth="1"/>
    <col min="6916" max="6916" width="10.5703125" style="157" customWidth="1"/>
    <col min="6917" max="6917" width="9.140625" style="157"/>
    <col min="6918" max="6919" width="12.42578125" style="157" customWidth="1"/>
    <col min="6920" max="6920" width="1.42578125" style="157" customWidth="1"/>
    <col min="6921" max="6921" width="12" style="157" customWidth="1"/>
    <col min="6922" max="6922" width="12.42578125" style="157" customWidth="1"/>
    <col min="6923" max="6923" width="12.28515625" style="157" customWidth="1"/>
    <col min="6924" max="6949" width="9.140625" style="157" customWidth="1"/>
    <col min="6950" max="6950" width="13.28515625" style="157" customWidth="1"/>
    <col min="6951" max="7168" width="9.140625" style="157"/>
    <col min="7169" max="7169" width="9.140625" style="157" customWidth="1"/>
    <col min="7170" max="7170" width="8" style="157" customWidth="1"/>
    <col min="7171" max="7171" width="34" style="157" customWidth="1"/>
    <col min="7172" max="7172" width="10.5703125" style="157" customWidth="1"/>
    <col min="7173" max="7173" width="9.140625" style="157"/>
    <col min="7174" max="7175" width="12.42578125" style="157" customWidth="1"/>
    <col min="7176" max="7176" width="1.42578125" style="157" customWidth="1"/>
    <col min="7177" max="7177" width="12" style="157" customWidth="1"/>
    <col min="7178" max="7178" width="12.42578125" style="157" customWidth="1"/>
    <col min="7179" max="7179" width="12.28515625" style="157" customWidth="1"/>
    <col min="7180" max="7205" width="9.140625" style="157" customWidth="1"/>
    <col min="7206" max="7206" width="13.28515625" style="157" customWidth="1"/>
    <col min="7207" max="7424" width="9.140625" style="157"/>
    <col min="7425" max="7425" width="9.140625" style="157" customWidth="1"/>
    <col min="7426" max="7426" width="8" style="157" customWidth="1"/>
    <col min="7427" max="7427" width="34" style="157" customWidth="1"/>
    <col min="7428" max="7428" width="10.5703125" style="157" customWidth="1"/>
    <col min="7429" max="7429" width="9.140625" style="157"/>
    <col min="7430" max="7431" width="12.42578125" style="157" customWidth="1"/>
    <col min="7432" max="7432" width="1.42578125" style="157" customWidth="1"/>
    <col min="7433" max="7433" width="12" style="157" customWidth="1"/>
    <col min="7434" max="7434" width="12.42578125" style="157" customWidth="1"/>
    <col min="7435" max="7435" width="12.28515625" style="157" customWidth="1"/>
    <col min="7436" max="7461" width="9.140625" style="157" customWidth="1"/>
    <col min="7462" max="7462" width="13.28515625" style="157" customWidth="1"/>
    <col min="7463" max="7680" width="9.140625" style="157"/>
    <col min="7681" max="7681" width="9.140625" style="157" customWidth="1"/>
    <col min="7682" max="7682" width="8" style="157" customWidth="1"/>
    <col min="7683" max="7683" width="34" style="157" customWidth="1"/>
    <col min="7684" max="7684" width="10.5703125" style="157" customWidth="1"/>
    <col min="7685" max="7685" width="9.140625" style="157"/>
    <col min="7686" max="7687" width="12.42578125" style="157" customWidth="1"/>
    <col min="7688" max="7688" width="1.42578125" style="157" customWidth="1"/>
    <col min="7689" max="7689" width="12" style="157" customWidth="1"/>
    <col min="7690" max="7690" width="12.42578125" style="157" customWidth="1"/>
    <col min="7691" max="7691" width="12.28515625" style="157" customWidth="1"/>
    <col min="7692" max="7717" width="9.140625" style="157" customWidth="1"/>
    <col min="7718" max="7718" width="13.28515625" style="157" customWidth="1"/>
    <col min="7719" max="7936" width="9.140625" style="157"/>
    <col min="7937" max="7937" width="9.140625" style="157" customWidth="1"/>
    <col min="7938" max="7938" width="8" style="157" customWidth="1"/>
    <col min="7939" max="7939" width="34" style="157" customWidth="1"/>
    <col min="7940" max="7940" width="10.5703125" style="157" customWidth="1"/>
    <col min="7941" max="7941" width="9.140625" style="157"/>
    <col min="7942" max="7943" width="12.42578125" style="157" customWidth="1"/>
    <col min="7944" max="7944" width="1.42578125" style="157" customWidth="1"/>
    <col min="7945" max="7945" width="12" style="157" customWidth="1"/>
    <col min="7946" max="7946" width="12.42578125" style="157" customWidth="1"/>
    <col min="7947" max="7947" width="12.28515625" style="157" customWidth="1"/>
    <col min="7948" max="7973" width="9.140625" style="157" customWidth="1"/>
    <col min="7974" max="7974" width="13.28515625" style="157" customWidth="1"/>
    <col min="7975" max="8192" width="9.140625" style="157"/>
    <col min="8193" max="8193" width="9.140625" style="157" customWidth="1"/>
    <col min="8194" max="8194" width="8" style="157" customWidth="1"/>
    <col min="8195" max="8195" width="34" style="157" customWidth="1"/>
    <col min="8196" max="8196" width="10.5703125" style="157" customWidth="1"/>
    <col min="8197" max="8197" width="9.140625" style="157"/>
    <col min="8198" max="8199" width="12.42578125" style="157" customWidth="1"/>
    <col min="8200" max="8200" width="1.42578125" style="157" customWidth="1"/>
    <col min="8201" max="8201" width="12" style="157" customWidth="1"/>
    <col min="8202" max="8202" width="12.42578125" style="157" customWidth="1"/>
    <col min="8203" max="8203" width="12.28515625" style="157" customWidth="1"/>
    <col min="8204" max="8229" width="9.140625" style="157" customWidth="1"/>
    <col min="8230" max="8230" width="13.28515625" style="157" customWidth="1"/>
    <col min="8231" max="8448" width="9.140625" style="157"/>
    <col min="8449" max="8449" width="9.140625" style="157" customWidth="1"/>
    <col min="8450" max="8450" width="8" style="157" customWidth="1"/>
    <col min="8451" max="8451" width="34" style="157" customWidth="1"/>
    <col min="8452" max="8452" width="10.5703125" style="157" customWidth="1"/>
    <col min="8453" max="8453" width="9.140625" style="157"/>
    <col min="8454" max="8455" width="12.42578125" style="157" customWidth="1"/>
    <col min="8456" max="8456" width="1.42578125" style="157" customWidth="1"/>
    <col min="8457" max="8457" width="12" style="157" customWidth="1"/>
    <col min="8458" max="8458" width="12.42578125" style="157" customWidth="1"/>
    <col min="8459" max="8459" width="12.28515625" style="157" customWidth="1"/>
    <col min="8460" max="8485" width="9.140625" style="157" customWidth="1"/>
    <col min="8486" max="8486" width="13.28515625" style="157" customWidth="1"/>
    <col min="8487" max="8704" width="9.140625" style="157"/>
    <col min="8705" max="8705" width="9.140625" style="157" customWidth="1"/>
    <col min="8706" max="8706" width="8" style="157" customWidth="1"/>
    <col min="8707" max="8707" width="34" style="157" customWidth="1"/>
    <col min="8708" max="8708" width="10.5703125" style="157" customWidth="1"/>
    <col min="8709" max="8709" width="9.140625" style="157"/>
    <col min="8710" max="8711" width="12.42578125" style="157" customWidth="1"/>
    <col min="8712" max="8712" width="1.42578125" style="157" customWidth="1"/>
    <col min="8713" max="8713" width="12" style="157" customWidth="1"/>
    <col min="8714" max="8714" width="12.42578125" style="157" customWidth="1"/>
    <col min="8715" max="8715" width="12.28515625" style="157" customWidth="1"/>
    <col min="8716" max="8741" width="9.140625" style="157" customWidth="1"/>
    <col min="8742" max="8742" width="13.28515625" style="157" customWidth="1"/>
    <col min="8743" max="8960" width="9.140625" style="157"/>
    <col min="8961" max="8961" width="9.140625" style="157" customWidth="1"/>
    <col min="8962" max="8962" width="8" style="157" customWidth="1"/>
    <col min="8963" max="8963" width="34" style="157" customWidth="1"/>
    <col min="8964" max="8964" width="10.5703125" style="157" customWidth="1"/>
    <col min="8965" max="8965" width="9.140625" style="157"/>
    <col min="8966" max="8967" width="12.42578125" style="157" customWidth="1"/>
    <col min="8968" max="8968" width="1.42578125" style="157" customWidth="1"/>
    <col min="8969" max="8969" width="12" style="157" customWidth="1"/>
    <col min="8970" max="8970" width="12.42578125" style="157" customWidth="1"/>
    <col min="8971" max="8971" width="12.28515625" style="157" customWidth="1"/>
    <col min="8972" max="8997" width="9.140625" style="157" customWidth="1"/>
    <col min="8998" max="8998" width="13.28515625" style="157" customWidth="1"/>
    <col min="8999" max="9216" width="9.140625" style="157"/>
    <col min="9217" max="9217" width="9.140625" style="157" customWidth="1"/>
    <col min="9218" max="9218" width="8" style="157" customWidth="1"/>
    <col min="9219" max="9219" width="34" style="157" customWidth="1"/>
    <col min="9220" max="9220" width="10.5703125" style="157" customWidth="1"/>
    <col min="9221" max="9221" width="9.140625" style="157"/>
    <col min="9222" max="9223" width="12.42578125" style="157" customWidth="1"/>
    <col min="9224" max="9224" width="1.42578125" style="157" customWidth="1"/>
    <col min="9225" max="9225" width="12" style="157" customWidth="1"/>
    <col min="9226" max="9226" width="12.42578125" style="157" customWidth="1"/>
    <col min="9227" max="9227" width="12.28515625" style="157" customWidth="1"/>
    <col min="9228" max="9253" width="9.140625" style="157" customWidth="1"/>
    <col min="9254" max="9254" width="13.28515625" style="157" customWidth="1"/>
    <col min="9255" max="9472" width="9.140625" style="157"/>
    <col min="9473" max="9473" width="9.140625" style="157" customWidth="1"/>
    <col min="9474" max="9474" width="8" style="157" customWidth="1"/>
    <col min="9475" max="9475" width="34" style="157" customWidth="1"/>
    <col min="9476" max="9476" width="10.5703125" style="157" customWidth="1"/>
    <col min="9477" max="9477" width="9.140625" style="157"/>
    <col min="9478" max="9479" width="12.42578125" style="157" customWidth="1"/>
    <col min="9480" max="9480" width="1.42578125" style="157" customWidth="1"/>
    <col min="9481" max="9481" width="12" style="157" customWidth="1"/>
    <col min="9482" max="9482" width="12.42578125" style="157" customWidth="1"/>
    <col min="9483" max="9483" width="12.28515625" style="157" customWidth="1"/>
    <col min="9484" max="9509" width="9.140625" style="157" customWidth="1"/>
    <col min="9510" max="9510" width="13.28515625" style="157" customWidth="1"/>
    <col min="9511" max="9728" width="9.140625" style="157"/>
    <col min="9729" max="9729" width="9.140625" style="157" customWidth="1"/>
    <col min="9730" max="9730" width="8" style="157" customWidth="1"/>
    <col min="9731" max="9731" width="34" style="157" customWidth="1"/>
    <col min="9732" max="9732" width="10.5703125" style="157" customWidth="1"/>
    <col min="9733" max="9733" width="9.140625" style="157"/>
    <col min="9734" max="9735" width="12.42578125" style="157" customWidth="1"/>
    <col min="9736" max="9736" width="1.42578125" style="157" customWidth="1"/>
    <col min="9737" max="9737" width="12" style="157" customWidth="1"/>
    <col min="9738" max="9738" width="12.42578125" style="157" customWidth="1"/>
    <col min="9739" max="9739" width="12.28515625" style="157" customWidth="1"/>
    <col min="9740" max="9765" width="9.140625" style="157" customWidth="1"/>
    <col min="9766" max="9766" width="13.28515625" style="157" customWidth="1"/>
    <col min="9767" max="9984" width="9.140625" style="157"/>
    <col min="9985" max="9985" width="9.140625" style="157" customWidth="1"/>
    <col min="9986" max="9986" width="8" style="157" customWidth="1"/>
    <col min="9987" max="9987" width="34" style="157" customWidth="1"/>
    <col min="9988" max="9988" width="10.5703125" style="157" customWidth="1"/>
    <col min="9989" max="9989" width="9.140625" style="157"/>
    <col min="9990" max="9991" width="12.42578125" style="157" customWidth="1"/>
    <col min="9992" max="9992" width="1.42578125" style="157" customWidth="1"/>
    <col min="9993" max="9993" width="12" style="157" customWidth="1"/>
    <col min="9994" max="9994" width="12.42578125" style="157" customWidth="1"/>
    <col min="9995" max="9995" width="12.28515625" style="157" customWidth="1"/>
    <col min="9996" max="10021" width="9.140625" style="157" customWidth="1"/>
    <col min="10022" max="10022" width="13.28515625" style="157" customWidth="1"/>
    <col min="10023" max="10240" width="9.140625" style="157"/>
    <col min="10241" max="10241" width="9.140625" style="157" customWidth="1"/>
    <col min="10242" max="10242" width="8" style="157" customWidth="1"/>
    <col min="10243" max="10243" width="34" style="157" customWidth="1"/>
    <col min="10244" max="10244" width="10.5703125" style="157" customWidth="1"/>
    <col min="10245" max="10245" width="9.140625" style="157"/>
    <col min="10246" max="10247" width="12.42578125" style="157" customWidth="1"/>
    <col min="10248" max="10248" width="1.42578125" style="157" customWidth="1"/>
    <col min="10249" max="10249" width="12" style="157" customWidth="1"/>
    <col min="10250" max="10250" width="12.42578125" style="157" customWidth="1"/>
    <col min="10251" max="10251" width="12.28515625" style="157" customWidth="1"/>
    <col min="10252" max="10277" width="9.140625" style="157" customWidth="1"/>
    <col min="10278" max="10278" width="13.28515625" style="157" customWidth="1"/>
    <col min="10279" max="10496" width="9.140625" style="157"/>
    <col min="10497" max="10497" width="9.140625" style="157" customWidth="1"/>
    <col min="10498" max="10498" width="8" style="157" customWidth="1"/>
    <col min="10499" max="10499" width="34" style="157" customWidth="1"/>
    <col min="10500" max="10500" width="10.5703125" style="157" customWidth="1"/>
    <col min="10501" max="10501" width="9.140625" style="157"/>
    <col min="10502" max="10503" width="12.42578125" style="157" customWidth="1"/>
    <col min="10504" max="10504" width="1.42578125" style="157" customWidth="1"/>
    <col min="10505" max="10505" width="12" style="157" customWidth="1"/>
    <col min="10506" max="10506" width="12.42578125" style="157" customWidth="1"/>
    <col min="10507" max="10507" width="12.28515625" style="157" customWidth="1"/>
    <col min="10508" max="10533" width="9.140625" style="157" customWidth="1"/>
    <col min="10534" max="10534" width="13.28515625" style="157" customWidth="1"/>
    <col min="10535" max="10752" width="9.140625" style="157"/>
    <col min="10753" max="10753" width="9.140625" style="157" customWidth="1"/>
    <col min="10754" max="10754" width="8" style="157" customWidth="1"/>
    <col min="10755" max="10755" width="34" style="157" customWidth="1"/>
    <col min="10756" max="10756" width="10.5703125" style="157" customWidth="1"/>
    <col min="10757" max="10757" width="9.140625" style="157"/>
    <col min="10758" max="10759" width="12.42578125" style="157" customWidth="1"/>
    <col min="10760" max="10760" width="1.42578125" style="157" customWidth="1"/>
    <col min="10761" max="10761" width="12" style="157" customWidth="1"/>
    <col min="10762" max="10762" width="12.42578125" style="157" customWidth="1"/>
    <col min="10763" max="10763" width="12.28515625" style="157" customWidth="1"/>
    <col min="10764" max="10789" width="9.140625" style="157" customWidth="1"/>
    <col min="10790" max="10790" width="13.28515625" style="157" customWidth="1"/>
    <col min="10791" max="11008" width="9.140625" style="157"/>
    <col min="11009" max="11009" width="9.140625" style="157" customWidth="1"/>
    <col min="11010" max="11010" width="8" style="157" customWidth="1"/>
    <col min="11011" max="11011" width="34" style="157" customWidth="1"/>
    <col min="11012" max="11012" width="10.5703125" style="157" customWidth="1"/>
    <col min="11013" max="11013" width="9.140625" style="157"/>
    <col min="11014" max="11015" width="12.42578125" style="157" customWidth="1"/>
    <col min="11016" max="11016" width="1.42578125" style="157" customWidth="1"/>
    <col min="11017" max="11017" width="12" style="157" customWidth="1"/>
    <col min="11018" max="11018" width="12.42578125" style="157" customWidth="1"/>
    <col min="11019" max="11019" width="12.28515625" style="157" customWidth="1"/>
    <col min="11020" max="11045" width="9.140625" style="157" customWidth="1"/>
    <col min="11046" max="11046" width="13.28515625" style="157" customWidth="1"/>
    <col min="11047" max="11264" width="9.140625" style="157"/>
    <col min="11265" max="11265" width="9.140625" style="157" customWidth="1"/>
    <col min="11266" max="11266" width="8" style="157" customWidth="1"/>
    <col min="11267" max="11267" width="34" style="157" customWidth="1"/>
    <col min="11268" max="11268" width="10.5703125" style="157" customWidth="1"/>
    <col min="11269" max="11269" width="9.140625" style="157"/>
    <col min="11270" max="11271" width="12.42578125" style="157" customWidth="1"/>
    <col min="11272" max="11272" width="1.42578125" style="157" customWidth="1"/>
    <col min="11273" max="11273" width="12" style="157" customWidth="1"/>
    <col min="11274" max="11274" width="12.42578125" style="157" customWidth="1"/>
    <col min="11275" max="11275" width="12.28515625" style="157" customWidth="1"/>
    <col min="11276" max="11301" width="9.140625" style="157" customWidth="1"/>
    <col min="11302" max="11302" width="13.28515625" style="157" customWidth="1"/>
    <col min="11303" max="11520" width="9.140625" style="157"/>
    <col min="11521" max="11521" width="9.140625" style="157" customWidth="1"/>
    <col min="11522" max="11522" width="8" style="157" customWidth="1"/>
    <col min="11523" max="11523" width="34" style="157" customWidth="1"/>
    <col min="11524" max="11524" width="10.5703125" style="157" customWidth="1"/>
    <col min="11525" max="11525" width="9.140625" style="157"/>
    <col min="11526" max="11527" width="12.42578125" style="157" customWidth="1"/>
    <col min="11528" max="11528" width="1.42578125" style="157" customWidth="1"/>
    <col min="11529" max="11529" width="12" style="157" customWidth="1"/>
    <col min="11530" max="11530" width="12.42578125" style="157" customWidth="1"/>
    <col min="11531" max="11531" width="12.28515625" style="157" customWidth="1"/>
    <col min="11532" max="11557" width="9.140625" style="157" customWidth="1"/>
    <col min="11558" max="11558" width="13.28515625" style="157" customWidth="1"/>
    <col min="11559" max="11776" width="9.140625" style="157"/>
    <col min="11777" max="11777" width="9.140625" style="157" customWidth="1"/>
    <col min="11778" max="11778" width="8" style="157" customWidth="1"/>
    <col min="11779" max="11779" width="34" style="157" customWidth="1"/>
    <col min="11780" max="11780" width="10.5703125" style="157" customWidth="1"/>
    <col min="11781" max="11781" width="9.140625" style="157"/>
    <col min="11782" max="11783" width="12.42578125" style="157" customWidth="1"/>
    <col min="11784" max="11784" width="1.42578125" style="157" customWidth="1"/>
    <col min="11785" max="11785" width="12" style="157" customWidth="1"/>
    <col min="11786" max="11786" width="12.42578125" style="157" customWidth="1"/>
    <col min="11787" max="11787" width="12.28515625" style="157" customWidth="1"/>
    <col min="11788" max="11813" width="9.140625" style="157" customWidth="1"/>
    <col min="11814" max="11814" width="13.28515625" style="157" customWidth="1"/>
    <col min="11815" max="12032" width="9.140625" style="157"/>
    <col min="12033" max="12033" width="9.140625" style="157" customWidth="1"/>
    <col min="12034" max="12034" width="8" style="157" customWidth="1"/>
    <col min="12035" max="12035" width="34" style="157" customWidth="1"/>
    <col min="12036" max="12036" width="10.5703125" style="157" customWidth="1"/>
    <col min="12037" max="12037" width="9.140625" style="157"/>
    <col min="12038" max="12039" width="12.42578125" style="157" customWidth="1"/>
    <col min="12040" max="12040" width="1.42578125" style="157" customWidth="1"/>
    <col min="12041" max="12041" width="12" style="157" customWidth="1"/>
    <col min="12042" max="12042" width="12.42578125" style="157" customWidth="1"/>
    <col min="12043" max="12043" width="12.28515625" style="157" customWidth="1"/>
    <col min="12044" max="12069" width="9.140625" style="157" customWidth="1"/>
    <col min="12070" max="12070" width="13.28515625" style="157" customWidth="1"/>
    <col min="12071" max="12288" width="9.140625" style="157"/>
    <col min="12289" max="12289" width="9.140625" style="157" customWidth="1"/>
    <col min="12290" max="12290" width="8" style="157" customWidth="1"/>
    <col min="12291" max="12291" width="34" style="157" customWidth="1"/>
    <col min="12292" max="12292" width="10.5703125" style="157" customWidth="1"/>
    <col min="12293" max="12293" width="9.140625" style="157"/>
    <col min="12294" max="12295" width="12.42578125" style="157" customWidth="1"/>
    <col min="12296" max="12296" width="1.42578125" style="157" customWidth="1"/>
    <col min="12297" max="12297" width="12" style="157" customWidth="1"/>
    <col min="12298" max="12298" width="12.42578125" style="157" customWidth="1"/>
    <col min="12299" max="12299" width="12.28515625" style="157" customWidth="1"/>
    <col min="12300" max="12325" width="9.140625" style="157" customWidth="1"/>
    <col min="12326" max="12326" width="13.28515625" style="157" customWidth="1"/>
    <col min="12327" max="12544" width="9.140625" style="157"/>
    <col min="12545" max="12545" width="9.140625" style="157" customWidth="1"/>
    <col min="12546" max="12546" width="8" style="157" customWidth="1"/>
    <col min="12547" max="12547" width="34" style="157" customWidth="1"/>
    <col min="12548" max="12548" width="10.5703125" style="157" customWidth="1"/>
    <col min="12549" max="12549" width="9.140625" style="157"/>
    <col min="12550" max="12551" width="12.42578125" style="157" customWidth="1"/>
    <col min="12552" max="12552" width="1.42578125" style="157" customWidth="1"/>
    <col min="12553" max="12553" width="12" style="157" customWidth="1"/>
    <col min="12554" max="12554" width="12.42578125" style="157" customWidth="1"/>
    <col min="12555" max="12555" width="12.28515625" style="157" customWidth="1"/>
    <col min="12556" max="12581" width="9.140625" style="157" customWidth="1"/>
    <col min="12582" max="12582" width="13.28515625" style="157" customWidth="1"/>
    <col min="12583" max="12800" width="9.140625" style="157"/>
    <col min="12801" max="12801" width="9.140625" style="157" customWidth="1"/>
    <col min="12802" max="12802" width="8" style="157" customWidth="1"/>
    <col min="12803" max="12803" width="34" style="157" customWidth="1"/>
    <col min="12804" max="12804" width="10.5703125" style="157" customWidth="1"/>
    <col min="12805" max="12805" width="9.140625" style="157"/>
    <col min="12806" max="12807" width="12.42578125" style="157" customWidth="1"/>
    <col min="12808" max="12808" width="1.42578125" style="157" customWidth="1"/>
    <col min="12809" max="12809" width="12" style="157" customWidth="1"/>
    <col min="12810" max="12810" width="12.42578125" style="157" customWidth="1"/>
    <col min="12811" max="12811" width="12.28515625" style="157" customWidth="1"/>
    <col min="12812" max="12837" width="9.140625" style="157" customWidth="1"/>
    <col min="12838" max="12838" width="13.28515625" style="157" customWidth="1"/>
    <col min="12839" max="13056" width="9.140625" style="157"/>
    <col min="13057" max="13057" width="9.140625" style="157" customWidth="1"/>
    <col min="13058" max="13058" width="8" style="157" customWidth="1"/>
    <col min="13059" max="13059" width="34" style="157" customWidth="1"/>
    <col min="13060" max="13060" width="10.5703125" style="157" customWidth="1"/>
    <col min="13061" max="13061" width="9.140625" style="157"/>
    <col min="13062" max="13063" width="12.42578125" style="157" customWidth="1"/>
    <col min="13064" max="13064" width="1.42578125" style="157" customWidth="1"/>
    <col min="13065" max="13065" width="12" style="157" customWidth="1"/>
    <col min="13066" max="13066" width="12.42578125" style="157" customWidth="1"/>
    <col min="13067" max="13067" width="12.28515625" style="157" customWidth="1"/>
    <col min="13068" max="13093" width="9.140625" style="157" customWidth="1"/>
    <col min="13094" max="13094" width="13.28515625" style="157" customWidth="1"/>
    <col min="13095" max="13312" width="9.140625" style="157"/>
    <col min="13313" max="13313" width="9.140625" style="157" customWidth="1"/>
    <col min="13314" max="13314" width="8" style="157" customWidth="1"/>
    <col min="13315" max="13315" width="34" style="157" customWidth="1"/>
    <col min="13316" max="13316" width="10.5703125" style="157" customWidth="1"/>
    <col min="13317" max="13317" width="9.140625" style="157"/>
    <col min="13318" max="13319" width="12.42578125" style="157" customWidth="1"/>
    <col min="13320" max="13320" width="1.42578125" style="157" customWidth="1"/>
    <col min="13321" max="13321" width="12" style="157" customWidth="1"/>
    <col min="13322" max="13322" width="12.42578125" style="157" customWidth="1"/>
    <col min="13323" max="13323" width="12.28515625" style="157" customWidth="1"/>
    <col min="13324" max="13349" width="9.140625" style="157" customWidth="1"/>
    <col min="13350" max="13350" width="13.28515625" style="157" customWidth="1"/>
    <col min="13351" max="13568" width="9.140625" style="157"/>
    <col min="13569" max="13569" width="9.140625" style="157" customWidth="1"/>
    <col min="13570" max="13570" width="8" style="157" customWidth="1"/>
    <col min="13571" max="13571" width="34" style="157" customWidth="1"/>
    <col min="13572" max="13572" width="10.5703125" style="157" customWidth="1"/>
    <col min="13573" max="13573" width="9.140625" style="157"/>
    <col min="13574" max="13575" width="12.42578125" style="157" customWidth="1"/>
    <col min="13576" max="13576" width="1.42578125" style="157" customWidth="1"/>
    <col min="13577" max="13577" width="12" style="157" customWidth="1"/>
    <col min="13578" max="13578" width="12.42578125" style="157" customWidth="1"/>
    <col min="13579" max="13579" width="12.28515625" style="157" customWidth="1"/>
    <col min="13580" max="13605" width="9.140625" style="157" customWidth="1"/>
    <col min="13606" max="13606" width="13.28515625" style="157" customWidth="1"/>
    <col min="13607" max="13824" width="9.140625" style="157"/>
    <col min="13825" max="13825" width="9.140625" style="157" customWidth="1"/>
    <col min="13826" max="13826" width="8" style="157" customWidth="1"/>
    <col min="13827" max="13827" width="34" style="157" customWidth="1"/>
    <col min="13828" max="13828" width="10.5703125" style="157" customWidth="1"/>
    <col min="13829" max="13829" width="9.140625" style="157"/>
    <col min="13830" max="13831" width="12.42578125" style="157" customWidth="1"/>
    <col min="13832" max="13832" width="1.42578125" style="157" customWidth="1"/>
    <col min="13833" max="13833" width="12" style="157" customWidth="1"/>
    <col min="13834" max="13834" width="12.42578125" style="157" customWidth="1"/>
    <col min="13835" max="13835" width="12.28515625" style="157" customWidth="1"/>
    <col min="13836" max="13861" width="9.140625" style="157" customWidth="1"/>
    <col min="13862" max="13862" width="13.28515625" style="157" customWidth="1"/>
    <col min="13863" max="14080" width="9.140625" style="157"/>
    <col min="14081" max="14081" width="9.140625" style="157" customWidth="1"/>
    <col min="14082" max="14082" width="8" style="157" customWidth="1"/>
    <col min="14083" max="14083" width="34" style="157" customWidth="1"/>
    <col min="14084" max="14084" width="10.5703125" style="157" customWidth="1"/>
    <col min="14085" max="14085" width="9.140625" style="157"/>
    <col min="14086" max="14087" width="12.42578125" style="157" customWidth="1"/>
    <col min="14088" max="14088" width="1.42578125" style="157" customWidth="1"/>
    <col min="14089" max="14089" width="12" style="157" customWidth="1"/>
    <col min="14090" max="14090" width="12.42578125" style="157" customWidth="1"/>
    <col min="14091" max="14091" width="12.28515625" style="157" customWidth="1"/>
    <col min="14092" max="14117" width="9.140625" style="157" customWidth="1"/>
    <col min="14118" max="14118" width="13.28515625" style="157" customWidth="1"/>
    <col min="14119" max="14336" width="9.140625" style="157"/>
    <col min="14337" max="14337" width="9.140625" style="157" customWidth="1"/>
    <col min="14338" max="14338" width="8" style="157" customWidth="1"/>
    <col min="14339" max="14339" width="34" style="157" customWidth="1"/>
    <col min="14340" max="14340" width="10.5703125" style="157" customWidth="1"/>
    <col min="14341" max="14341" width="9.140625" style="157"/>
    <col min="14342" max="14343" width="12.42578125" style="157" customWidth="1"/>
    <col min="14344" max="14344" width="1.42578125" style="157" customWidth="1"/>
    <col min="14345" max="14345" width="12" style="157" customWidth="1"/>
    <col min="14346" max="14346" width="12.42578125" style="157" customWidth="1"/>
    <col min="14347" max="14347" width="12.28515625" style="157" customWidth="1"/>
    <col min="14348" max="14373" width="9.140625" style="157" customWidth="1"/>
    <col min="14374" max="14374" width="13.28515625" style="157" customWidth="1"/>
    <col min="14375" max="14592" width="9.140625" style="157"/>
    <col min="14593" max="14593" width="9.140625" style="157" customWidth="1"/>
    <col min="14594" max="14594" width="8" style="157" customWidth="1"/>
    <col min="14595" max="14595" width="34" style="157" customWidth="1"/>
    <col min="14596" max="14596" width="10.5703125" style="157" customWidth="1"/>
    <col min="14597" max="14597" width="9.140625" style="157"/>
    <col min="14598" max="14599" width="12.42578125" style="157" customWidth="1"/>
    <col min="14600" max="14600" width="1.42578125" style="157" customWidth="1"/>
    <col min="14601" max="14601" width="12" style="157" customWidth="1"/>
    <col min="14602" max="14602" width="12.42578125" style="157" customWidth="1"/>
    <col min="14603" max="14603" width="12.28515625" style="157" customWidth="1"/>
    <col min="14604" max="14629" width="9.140625" style="157" customWidth="1"/>
    <col min="14630" max="14630" width="13.28515625" style="157" customWidth="1"/>
    <col min="14631" max="14848" width="9.140625" style="157"/>
    <col min="14849" max="14849" width="9.140625" style="157" customWidth="1"/>
    <col min="14850" max="14850" width="8" style="157" customWidth="1"/>
    <col min="14851" max="14851" width="34" style="157" customWidth="1"/>
    <col min="14852" max="14852" width="10.5703125" style="157" customWidth="1"/>
    <col min="14853" max="14853" width="9.140625" style="157"/>
    <col min="14854" max="14855" width="12.42578125" style="157" customWidth="1"/>
    <col min="14856" max="14856" width="1.42578125" style="157" customWidth="1"/>
    <col min="14857" max="14857" width="12" style="157" customWidth="1"/>
    <col min="14858" max="14858" width="12.42578125" style="157" customWidth="1"/>
    <col min="14859" max="14859" width="12.28515625" style="157" customWidth="1"/>
    <col min="14860" max="14885" width="9.140625" style="157" customWidth="1"/>
    <col min="14886" max="14886" width="13.28515625" style="157" customWidth="1"/>
    <col min="14887" max="15104" width="9.140625" style="157"/>
    <col min="15105" max="15105" width="9.140625" style="157" customWidth="1"/>
    <col min="15106" max="15106" width="8" style="157" customWidth="1"/>
    <col min="15107" max="15107" width="34" style="157" customWidth="1"/>
    <col min="15108" max="15108" width="10.5703125" style="157" customWidth="1"/>
    <col min="15109" max="15109" width="9.140625" style="157"/>
    <col min="15110" max="15111" width="12.42578125" style="157" customWidth="1"/>
    <col min="15112" max="15112" width="1.42578125" style="157" customWidth="1"/>
    <col min="15113" max="15113" width="12" style="157" customWidth="1"/>
    <col min="15114" max="15114" width="12.42578125" style="157" customWidth="1"/>
    <col min="15115" max="15115" width="12.28515625" style="157" customWidth="1"/>
    <col min="15116" max="15141" width="9.140625" style="157" customWidth="1"/>
    <col min="15142" max="15142" width="13.28515625" style="157" customWidth="1"/>
    <col min="15143" max="15360" width="9.140625" style="157"/>
    <col min="15361" max="15361" width="9.140625" style="157" customWidth="1"/>
    <col min="15362" max="15362" width="8" style="157" customWidth="1"/>
    <col min="15363" max="15363" width="34" style="157" customWidth="1"/>
    <col min="15364" max="15364" width="10.5703125" style="157" customWidth="1"/>
    <col min="15365" max="15365" width="9.140625" style="157"/>
    <col min="15366" max="15367" width="12.42578125" style="157" customWidth="1"/>
    <col min="15368" max="15368" width="1.42578125" style="157" customWidth="1"/>
    <col min="15369" max="15369" width="12" style="157" customWidth="1"/>
    <col min="15370" max="15370" width="12.42578125" style="157" customWidth="1"/>
    <col min="15371" max="15371" width="12.28515625" style="157" customWidth="1"/>
    <col min="15372" max="15397" width="9.140625" style="157" customWidth="1"/>
    <col min="15398" max="15398" width="13.28515625" style="157" customWidth="1"/>
    <col min="15399" max="15616" width="9.140625" style="157"/>
    <col min="15617" max="15617" width="9.140625" style="157" customWidth="1"/>
    <col min="15618" max="15618" width="8" style="157" customWidth="1"/>
    <col min="15619" max="15619" width="34" style="157" customWidth="1"/>
    <col min="15620" max="15620" width="10.5703125" style="157" customWidth="1"/>
    <col min="15621" max="15621" width="9.140625" style="157"/>
    <col min="15622" max="15623" width="12.42578125" style="157" customWidth="1"/>
    <col min="15624" max="15624" width="1.42578125" style="157" customWidth="1"/>
    <col min="15625" max="15625" width="12" style="157" customWidth="1"/>
    <col min="15626" max="15626" width="12.42578125" style="157" customWidth="1"/>
    <col min="15627" max="15627" width="12.28515625" style="157" customWidth="1"/>
    <col min="15628" max="15653" width="9.140625" style="157" customWidth="1"/>
    <col min="15654" max="15654" width="13.28515625" style="157" customWidth="1"/>
    <col min="15655" max="15872" width="9.140625" style="157"/>
    <col min="15873" max="15873" width="9.140625" style="157" customWidth="1"/>
    <col min="15874" max="15874" width="8" style="157" customWidth="1"/>
    <col min="15875" max="15875" width="34" style="157" customWidth="1"/>
    <col min="15876" max="15876" width="10.5703125" style="157" customWidth="1"/>
    <col min="15877" max="15877" width="9.140625" style="157"/>
    <col min="15878" max="15879" width="12.42578125" style="157" customWidth="1"/>
    <col min="15880" max="15880" width="1.42578125" style="157" customWidth="1"/>
    <col min="15881" max="15881" width="12" style="157" customWidth="1"/>
    <col min="15882" max="15882" width="12.42578125" style="157" customWidth="1"/>
    <col min="15883" max="15883" width="12.28515625" style="157" customWidth="1"/>
    <col min="15884" max="15909" width="9.140625" style="157" customWidth="1"/>
    <col min="15910" max="15910" width="13.28515625" style="157" customWidth="1"/>
    <col min="15911" max="16128" width="9.140625" style="157"/>
    <col min="16129" max="16129" width="9.140625" style="157" customWidth="1"/>
    <col min="16130" max="16130" width="8" style="157" customWidth="1"/>
    <col min="16131" max="16131" width="34" style="157" customWidth="1"/>
    <col min="16132" max="16132" width="10.5703125" style="157" customWidth="1"/>
    <col min="16133" max="16133" width="9.140625" style="157"/>
    <col min="16134" max="16135" width="12.42578125" style="157" customWidth="1"/>
    <col min="16136" max="16136" width="1.42578125" style="157" customWidth="1"/>
    <col min="16137" max="16137" width="12" style="157" customWidth="1"/>
    <col min="16138" max="16138" width="12.42578125" style="157" customWidth="1"/>
    <col min="16139" max="16139" width="12.28515625" style="157" customWidth="1"/>
    <col min="16140" max="16165" width="9.140625" style="157" customWidth="1"/>
    <col min="16166" max="16166" width="13.28515625" style="157" customWidth="1"/>
    <col min="16167" max="16384" width="9.140625" style="157"/>
  </cols>
  <sheetData>
    <row r="1" spans="1:87" ht="21" customHeight="1" thickBot="1">
      <c r="B1" s="481" t="s">
        <v>139</v>
      </c>
      <c r="C1" s="481"/>
      <c r="D1" s="481"/>
      <c r="E1" s="481"/>
      <c r="F1" s="481"/>
      <c r="G1" s="481"/>
      <c r="H1" s="481"/>
      <c r="I1" s="488"/>
      <c r="J1" s="488"/>
      <c r="K1" s="488"/>
      <c r="L1" s="488"/>
      <c r="M1" s="488"/>
      <c r="N1" s="488"/>
      <c r="O1" s="488"/>
      <c r="P1" s="488"/>
      <c r="Q1" s="488"/>
      <c r="R1" s="488"/>
      <c r="S1" s="488"/>
      <c r="T1" s="488"/>
      <c r="U1" s="488"/>
      <c r="V1" s="488"/>
      <c r="W1" s="488"/>
      <c r="X1" s="488"/>
      <c r="Y1" s="488"/>
      <c r="Z1" s="488"/>
      <c r="AA1" s="488"/>
      <c r="AB1" s="488"/>
      <c r="AC1" s="488"/>
      <c r="AD1" s="488"/>
      <c r="AE1" s="488"/>
      <c r="AF1" s="488"/>
      <c r="AG1" s="488"/>
      <c r="AH1" s="488"/>
      <c r="AI1" s="488"/>
      <c r="AJ1" s="488"/>
      <c r="AK1" s="488"/>
    </row>
    <row r="2" spans="1:87" s="158" customFormat="1" ht="20.25" customHeight="1" thickBot="1">
      <c r="A2" s="203"/>
      <c r="B2" s="172"/>
      <c r="C2" s="172"/>
      <c r="D2" s="201"/>
      <c r="E2" s="774"/>
      <c r="F2" s="172"/>
      <c r="G2" s="172"/>
      <c r="H2" s="172"/>
      <c r="I2" s="526" t="s">
        <v>140</v>
      </c>
      <c r="J2" s="527"/>
      <c r="K2" s="527"/>
      <c r="L2" s="527"/>
      <c r="M2" s="527"/>
      <c r="N2" s="527"/>
      <c r="O2" s="527"/>
      <c r="P2" s="527"/>
      <c r="Q2" s="527"/>
      <c r="R2" s="528"/>
      <c r="S2" s="526" t="s">
        <v>140</v>
      </c>
      <c r="T2" s="527"/>
      <c r="U2" s="527"/>
      <c r="V2" s="527"/>
      <c r="W2" s="527"/>
      <c r="X2" s="529"/>
      <c r="Y2" s="527"/>
      <c r="Z2" s="527"/>
      <c r="AA2" s="527"/>
      <c r="AB2" s="528"/>
      <c r="AC2" s="526" t="s">
        <v>140</v>
      </c>
      <c r="AD2" s="527"/>
      <c r="AE2" s="527"/>
      <c r="AF2" s="527"/>
      <c r="AG2" s="527"/>
      <c r="AH2" s="527"/>
      <c r="AI2" s="527"/>
      <c r="AJ2" s="527"/>
      <c r="AK2" s="527"/>
      <c r="AL2" s="528"/>
      <c r="AM2" s="172"/>
      <c r="AN2" s="483"/>
      <c r="AO2" s="172"/>
      <c r="AP2" s="172"/>
      <c r="AQ2" s="172"/>
      <c r="AR2" s="172"/>
      <c r="AS2" s="172"/>
      <c r="AT2" s="172"/>
      <c r="AU2" s="172"/>
      <c r="AV2" s="172"/>
      <c r="AW2" s="172"/>
      <c r="AX2" s="172"/>
      <c r="AY2" s="172"/>
      <c r="AZ2" s="172"/>
      <c r="BA2" s="172"/>
      <c r="BB2" s="172"/>
      <c r="BC2" s="172"/>
      <c r="BD2" s="172"/>
      <c r="BE2" s="172"/>
      <c r="BF2" s="172"/>
      <c r="BG2" s="172"/>
      <c r="BH2" s="172"/>
      <c r="BI2" s="172"/>
      <c r="BJ2" s="172"/>
      <c r="BK2" s="172"/>
      <c r="BL2" s="172"/>
      <c r="BM2" s="172"/>
      <c r="BN2" s="172"/>
      <c r="BO2" s="172"/>
      <c r="BP2" s="172"/>
      <c r="BQ2" s="172"/>
      <c r="BR2" s="172"/>
      <c r="BS2" s="172"/>
      <c r="BT2" s="172"/>
      <c r="BU2" s="172"/>
      <c r="BV2" s="172"/>
      <c r="BW2" s="172"/>
      <c r="BX2" s="172"/>
      <c r="BY2" s="172"/>
      <c r="BZ2" s="172"/>
      <c r="CA2" s="172"/>
      <c r="CB2" s="172"/>
      <c r="CC2" s="172"/>
      <c r="CD2" s="172"/>
      <c r="CE2" s="172"/>
      <c r="CF2" s="172"/>
      <c r="CG2" s="172"/>
      <c r="CH2" s="172"/>
      <c r="CI2" s="172"/>
    </row>
    <row r="3" spans="1:87" s="158" customFormat="1" ht="20.25" customHeight="1" thickBot="1">
      <c r="A3" s="882"/>
      <c r="B3" s="173"/>
      <c r="C3" s="173"/>
      <c r="D3" s="174" t="s">
        <v>141</v>
      </c>
      <c r="E3" s="175" t="s">
        <v>142</v>
      </c>
      <c r="F3" s="175" t="s">
        <v>143</v>
      </c>
      <c r="G3" s="176" t="s">
        <v>144</v>
      </c>
      <c r="H3" s="177"/>
      <c r="I3" s="875" t="s">
        <v>350</v>
      </c>
      <c r="J3" s="876" t="s">
        <v>351</v>
      </c>
      <c r="K3" s="875" t="s">
        <v>352</v>
      </c>
      <c r="L3" s="876" t="s">
        <v>353</v>
      </c>
      <c r="M3" s="957" t="s">
        <v>354</v>
      </c>
      <c r="N3" s="956" t="s">
        <v>355</v>
      </c>
      <c r="O3" s="957" t="s">
        <v>356</v>
      </c>
      <c r="P3" s="956" t="s">
        <v>357</v>
      </c>
      <c r="Q3" s="957" t="s">
        <v>358</v>
      </c>
      <c r="R3" s="956" t="s">
        <v>181</v>
      </c>
      <c r="S3" s="957" t="s">
        <v>182</v>
      </c>
      <c r="T3" s="956" t="s">
        <v>183</v>
      </c>
      <c r="U3" s="489" t="s">
        <v>184</v>
      </c>
      <c r="V3" s="490" t="s">
        <v>185</v>
      </c>
      <c r="W3" s="489" t="s">
        <v>186</v>
      </c>
      <c r="X3" s="490" t="s">
        <v>187</v>
      </c>
      <c r="Y3" s="489" t="s">
        <v>188</v>
      </c>
      <c r="Z3" s="490" t="s">
        <v>189</v>
      </c>
      <c r="AA3" s="489" t="s">
        <v>190</v>
      </c>
      <c r="AB3" s="490" t="s">
        <v>191</v>
      </c>
      <c r="AC3" s="489" t="s">
        <v>192</v>
      </c>
      <c r="AD3" s="490" t="s">
        <v>193</v>
      </c>
      <c r="AE3" s="489" t="s">
        <v>194</v>
      </c>
      <c r="AF3" s="490" t="s">
        <v>195</v>
      </c>
      <c r="AG3" s="489" t="s">
        <v>196</v>
      </c>
      <c r="AH3" s="490" t="s">
        <v>197</v>
      </c>
      <c r="AI3" s="489" t="s">
        <v>198</v>
      </c>
      <c r="AJ3" s="490" t="s">
        <v>199</v>
      </c>
      <c r="AK3" s="489" t="s">
        <v>200</v>
      </c>
      <c r="AL3" s="490" t="s">
        <v>201</v>
      </c>
      <c r="AM3" s="173"/>
      <c r="AN3" s="487"/>
      <c r="AO3" s="173"/>
      <c r="AP3" s="173"/>
      <c r="AQ3" s="173"/>
      <c r="AR3" s="173"/>
      <c r="AS3" s="173"/>
      <c r="AT3" s="173"/>
      <c r="AU3" s="173"/>
      <c r="AV3" s="173"/>
      <c r="AW3" s="173"/>
      <c r="AX3" s="173"/>
      <c r="AY3" s="173"/>
      <c r="AZ3" s="173"/>
      <c r="BA3" s="173"/>
      <c r="BB3" s="173"/>
      <c r="BC3" s="173"/>
      <c r="BD3" s="173"/>
      <c r="BE3" s="173"/>
      <c r="BF3" s="173"/>
      <c r="BG3" s="173"/>
      <c r="BH3" s="173"/>
      <c r="BI3" s="173"/>
      <c r="BJ3" s="173"/>
      <c r="BK3" s="173"/>
      <c r="BL3" s="173"/>
      <c r="BM3" s="173"/>
      <c r="BN3" s="173"/>
      <c r="BO3" s="173"/>
      <c r="BP3" s="173"/>
      <c r="BQ3" s="173"/>
      <c r="BR3" s="173"/>
      <c r="BS3" s="173"/>
      <c r="BT3" s="173"/>
      <c r="BU3" s="173"/>
      <c r="BV3" s="173"/>
      <c r="BW3" s="173"/>
      <c r="BX3" s="173"/>
      <c r="BY3" s="173"/>
      <c r="BZ3" s="173"/>
      <c r="CA3" s="173"/>
      <c r="CB3" s="173"/>
      <c r="CC3" s="173"/>
      <c r="CD3" s="173"/>
      <c r="CE3" s="173"/>
      <c r="CF3" s="173"/>
      <c r="CG3" s="173"/>
      <c r="CH3" s="173"/>
      <c r="CI3" s="173"/>
    </row>
    <row r="4" spans="1:87" ht="20.25" customHeight="1" thickBot="1">
      <c r="B4" s="178">
        <v>1</v>
      </c>
      <c r="C4" s="179" t="s">
        <v>145</v>
      </c>
      <c r="D4" s="180"/>
      <c r="E4" s="181"/>
      <c r="F4" s="182"/>
      <c r="G4" s="183">
        <f>'17 R1 INV COMP'!F5</f>
        <v>2227078.7523773117</v>
      </c>
      <c r="H4" s="183" t="e">
        <f>'17 R1 INV COMP'!#REF!</f>
        <v>#REF!</v>
      </c>
      <c r="I4" s="183">
        <f>'17 R1 INV COMP'!G5</f>
        <v>415602.55533382273</v>
      </c>
      <c r="J4" s="183">
        <f>'17 R1 INV COMP'!H5</f>
        <v>276066.08191973524</v>
      </c>
      <c r="K4" s="183">
        <f>'17 R1 INV COMP'!I5</f>
        <v>179425.64556351057</v>
      </c>
      <c r="L4" s="183">
        <f>'17 R1 INV COMP'!J5</f>
        <v>496375.95428624109</v>
      </c>
      <c r="M4" s="183">
        <f>'17 R1 INV COMP'!K5</f>
        <v>33061.865972076979</v>
      </c>
      <c r="N4" s="183">
        <f>'17 R1 INV COMP'!L5</f>
        <v>33061.865972076979</v>
      </c>
      <c r="O4" s="183">
        <f>'17 R1 INV COMP'!M5</f>
        <v>33061.865972076979</v>
      </c>
      <c r="P4" s="183">
        <f>'17 R1 INV COMP'!N5</f>
        <v>33061.865972076979</v>
      </c>
      <c r="Q4" s="183">
        <f>'17 R1 INV COMP'!O5</f>
        <v>33061.865972076979</v>
      </c>
      <c r="R4" s="183">
        <f>'17 R1 INV COMP'!P5</f>
        <v>33061.865972076979</v>
      </c>
      <c r="S4" s="183">
        <f>'17 R1 INV COMP'!Q5</f>
        <v>33061.865972076979</v>
      </c>
      <c r="T4" s="183">
        <f>'17 R1 INV COMP'!R5</f>
        <v>33061.865972076979</v>
      </c>
      <c r="U4" s="183">
        <f>'17 R1 INV COMP'!S5</f>
        <v>33061.865972076979</v>
      </c>
      <c r="V4" s="183">
        <f>'17 R1 INV COMP'!T5</f>
        <v>33061.865972076979</v>
      </c>
      <c r="W4" s="183">
        <f>'17 R1 INV COMP'!U5</f>
        <v>33061.865972076979</v>
      </c>
      <c r="X4" s="183">
        <f>'17 R1 INV COMP'!V5</f>
        <v>33061.865972076979</v>
      </c>
      <c r="Y4" s="183">
        <f>'17 R1 INV COMP'!W5</f>
        <v>33061.865972076979</v>
      </c>
      <c r="Z4" s="183">
        <f>'17 R1 INV COMP'!X5</f>
        <v>33061.865972076979</v>
      </c>
      <c r="AA4" s="183">
        <f>'17 R1 INV COMP'!Y5</f>
        <v>33061.865972076979</v>
      </c>
      <c r="AB4" s="183">
        <f>'17 R1 INV COMP'!Z5</f>
        <v>33061.865972076979</v>
      </c>
      <c r="AC4" s="183">
        <f>'17 R1 INV COMP'!AA5</f>
        <v>33061.865972076979</v>
      </c>
      <c r="AD4" s="183">
        <f>'17 R1 INV COMP'!AB5</f>
        <v>33061.865972076979</v>
      </c>
      <c r="AE4" s="183">
        <f>'17 R1 INV COMP'!AC5</f>
        <v>33061.865972076979</v>
      </c>
      <c r="AF4" s="183">
        <f>'17 R1 INV COMP'!AD5</f>
        <v>33061.865972076979</v>
      </c>
      <c r="AG4" s="183">
        <f>'17 R1 INV COMP'!AE5</f>
        <v>33061.865972076979</v>
      </c>
      <c r="AH4" s="183">
        <f>'17 R1 INV COMP'!AF5</f>
        <v>33061.865972076979</v>
      </c>
      <c r="AI4" s="183">
        <f>'17 R1 INV COMP'!AG5</f>
        <v>33061.865972076979</v>
      </c>
      <c r="AJ4" s="183">
        <f>'17 R1 INV COMP'!AH5</f>
        <v>33061.865972076979</v>
      </c>
      <c r="AK4" s="183">
        <f>'17 R1 INV COMP'!AI5</f>
        <v>33061.865972076979</v>
      </c>
      <c r="AL4" s="183">
        <f>'17 R1 INV COMP'!AJ5</f>
        <v>33061.865972076979</v>
      </c>
      <c r="AM4" s="483"/>
      <c r="AN4" s="486">
        <f>SUM(I4:AM4)-G4</f>
        <v>0</v>
      </c>
      <c r="AO4" s="483"/>
      <c r="AP4" s="483"/>
      <c r="AQ4" s="483"/>
      <c r="AR4" s="483"/>
      <c r="AS4" s="484"/>
      <c r="AT4" s="484"/>
      <c r="AU4" s="484"/>
      <c r="AV4" s="484"/>
    </row>
    <row r="5" spans="1:87" ht="20.25" customHeight="1" thickBot="1">
      <c r="B5" s="775" t="s">
        <v>146</v>
      </c>
      <c r="C5" s="776" t="s">
        <v>147</v>
      </c>
      <c r="D5" s="174"/>
      <c r="E5" s="777"/>
      <c r="F5" s="778"/>
      <c r="G5" s="779">
        <f>'17 R1 INV COMP'!F7</f>
        <v>549332.3489450902</v>
      </c>
      <c r="H5" s="779" t="e">
        <f>'17 R1 INV COMP'!#REF!</f>
        <v>#REF!</v>
      </c>
      <c r="I5" s="779">
        <f>'17 R1 INV COMP'!G7</f>
        <v>298647.82683240459</v>
      </c>
      <c r="J5" s="779">
        <f>'17 R1 INV COMP'!H7</f>
        <v>65491.021928009926</v>
      </c>
      <c r="K5" s="779">
        <f>'17 R1 INV COMP'!I7</f>
        <v>113111.25412275761</v>
      </c>
      <c r="L5" s="779">
        <f>'17 R1 INV COMP'!J7</f>
        <v>72082.246061918137</v>
      </c>
      <c r="M5" s="779">
        <f>'17 R1 INV COMP'!K7</f>
        <v>0</v>
      </c>
      <c r="N5" s="779">
        <f>'17 R1 INV COMP'!L7</f>
        <v>0</v>
      </c>
      <c r="O5" s="779">
        <f>'17 R1 INV COMP'!M7</f>
        <v>0</v>
      </c>
      <c r="P5" s="779">
        <f>'17 R1 INV COMP'!N7</f>
        <v>0</v>
      </c>
      <c r="Q5" s="779">
        <f>'17 R1 INV COMP'!O7</f>
        <v>0</v>
      </c>
      <c r="R5" s="779">
        <f>'17 R1 INV COMP'!P7</f>
        <v>0</v>
      </c>
      <c r="S5" s="779">
        <f>'17 R1 INV COMP'!Q7</f>
        <v>0</v>
      </c>
      <c r="T5" s="779">
        <f>'17 R1 INV COMP'!R7</f>
        <v>0</v>
      </c>
      <c r="U5" s="779">
        <f>'17 R1 INV COMP'!S7</f>
        <v>0</v>
      </c>
      <c r="V5" s="779">
        <f>'17 R1 INV COMP'!T7</f>
        <v>0</v>
      </c>
      <c r="W5" s="779">
        <f>'17 R1 INV COMP'!U7</f>
        <v>0</v>
      </c>
      <c r="X5" s="779">
        <f>'17 R1 INV COMP'!V7</f>
        <v>0</v>
      </c>
      <c r="Y5" s="779">
        <f>'17 R1 INV COMP'!W7</f>
        <v>0</v>
      </c>
      <c r="Z5" s="779">
        <f>'17 R1 INV COMP'!X7</f>
        <v>0</v>
      </c>
      <c r="AA5" s="779">
        <f>'17 R1 INV COMP'!Y7</f>
        <v>0</v>
      </c>
      <c r="AB5" s="779">
        <f>'17 R1 INV COMP'!Z7</f>
        <v>0</v>
      </c>
      <c r="AC5" s="779">
        <f>'17 R1 INV COMP'!AA7</f>
        <v>0</v>
      </c>
      <c r="AD5" s="779">
        <f>'17 R1 INV COMP'!AB7</f>
        <v>0</v>
      </c>
      <c r="AE5" s="779">
        <f>'17 R1 INV COMP'!AC7</f>
        <v>0</v>
      </c>
      <c r="AF5" s="779">
        <f>'17 R1 INV COMP'!AD7</f>
        <v>0</v>
      </c>
      <c r="AG5" s="779">
        <f>'17 R1 INV COMP'!AE7</f>
        <v>0</v>
      </c>
      <c r="AH5" s="779">
        <f>'17 R1 INV COMP'!AF7</f>
        <v>0</v>
      </c>
      <c r="AI5" s="779">
        <f>'17 R1 INV COMP'!AG7</f>
        <v>0</v>
      </c>
      <c r="AJ5" s="779">
        <f>'17 R1 INV COMP'!AH7</f>
        <v>0</v>
      </c>
      <c r="AK5" s="779">
        <f>'17 R1 INV COMP'!AI7</f>
        <v>0</v>
      </c>
      <c r="AL5" s="779">
        <f>'17 R1 INV COMP'!AJ7</f>
        <v>0</v>
      </c>
      <c r="AM5" s="487"/>
      <c r="AN5" s="486">
        <f t="shared" ref="AN5:AN68" si="0">SUM(I5:AM5)-G5</f>
        <v>0</v>
      </c>
      <c r="AO5" s="487"/>
      <c r="AP5" s="487"/>
      <c r="AQ5" s="487"/>
      <c r="AR5" s="487"/>
      <c r="AS5" s="485"/>
      <c r="AT5" s="485"/>
      <c r="AU5" s="485"/>
      <c r="AV5" s="485"/>
      <c r="AW5" s="173"/>
      <c r="AX5" s="173"/>
      <c r="AY5" s="173"/>
      <c r="AZ5" s="173"/>
      <c r="BA5" s="173"/>
      <c r="BB5" s="173"/>
      <c r="BC5" s="173"/>
      <c r="BD5" s="173"/>
      <c r="BE5" s="173"/>
      <c r="BF5" s="173"/>
      <c r="BG5" s="173"/>
      <c r="BH5" s="173"/>
      <c r="BI5" s="173"/>
      <c r="BJ5" s="173"/>
      <c r="BK5" s="173"/>
      <c r="BL5" s="173"/>
      <c r="BM5" s="173"/>
      <c r="BN5" s="173"/>
      <c r="BO5" s="173"/>
      <c r="BP5" s="173"/>
      <c r="BQ5" s="173"/>
      <c r="BR5" s="173"/>
      <c r="BS5" s="173"/>
      <c r="BT5" s="173"/>
      <c r="BU5" s="173"/>
      <c r="BV5" s="173"/>
      <c r="BW5" s="173"/>
      <c r="BX5" s="173"/>
      <c r="BY5" s="173"/>
      <c r="BZ5" s="173"/>
      <c r="CA5" s="173"/>
      <c r="CB5" s="173"/>
      <c r="CC5" s="173"/>
      <c r="CD5" s="173"/>
      <c r="CE5" s="173"/>
      <c r="CF5" s="173"/>
      <c r="CG5" s="173"/>
      <c r="CH5" s="173"/>
      <c r="CI5" s="173"/>
    </row>
    <row r="6" spans="1:87">
      <c r="B6" s="184"/>
      <c r="C6" s="249" t="s">
        <v>248</v>
      </c>
      <c r="D6" s="250">
        <v>1</v>
      </c>
      <c r="E6" s="251" t="s">
        <v>249</v>
      </c>
      <c r="F6" s="503">
        <v>61319.977355847921</v>
      </c>
      <c r="G6" s="519">
        <f>'17 R1 INV COMP'!F9</f>
        <v>22893.407629661378</v>
      </c>
      <c r="H6" s="519" t="e">
        <f>'17 R1 INV COMP'!#REF!</f>
        <v>#REF!</v>
      </c>
      <c r="I6" s="519">
        <f>'17 R1 INV COMP'!G9</f>
        <v>22893.407629661378</v>
      </c>
      <c r="J6" s="519">
        <f>'17 R1 INV COMP'!H9</f>
        <v>0</v>
      </c>
      <c r="K6" s="519">
        <f>'17 R1 INV COMP'!I9</f>
        <v>0</v>
      </c>
      <c r="L6" s="519">
        <f>'17 R1 INV COMP'!J9</f>
        <v>0</v>
      </c>
      <c r="M6" s="519">
        <f>'17 R1 INV COMP'!K9</f>
        <v>0</v>
      </c>
      <c r="N6" s="519">
        <f>'17 R1 INV COMP'!L9</f>
        <v>0</v>
      </c>
      <c r="O6" s="519">
        <f>'17 R1 INV COMP'!M9</f>
        <v>0</v>
      </c>
      <c r="P6" s="519">
        <f>'17 R1 INV COMP'!N9</f>
        <v>0</v>
      </c>
      <c r="Q6" s="519">
        <f>'17 R1 INV COMP'!O9</f>
        <v>0</v>
      </c>
      <c r="R6" s="519">
        <f>'17 R1 INV COMP'!P9</f>
        <v>0</v>
      </c>
      <c r="S6" s="519">
        <f>'17 R1 INV COMP'!Q9</f>
        <v>0</v>
      </c>
      <c r="T6" s="519">
        <f>'17 R1 INV COMP'!R9</f>
        <v>0</v>
      </c>
      <c r="U6" s="519">
        <f>'17 R1 INV COMP'!S9</f>
        <v>0</v>
      </c>
      <c r="V6" s="519">
        <f>'17 R1 INV COMP'!T9</f>
        <v>0</v>
      </c>
      <c r="W6" s="519">
        <f>'17 R1 INV COMP'!U9</f>
        <v>0</v>
      </c>
      <c r="X6" s="519">
        <f>'17 R1 INV COMP'!V9</f>
        <v>0</v>
      </c>
      <c r="Y6" s="519">
        <f>'17 R1 INV COMP'!W9</f>
        <v>0</v>
      </c>
      <c r="Z6" s="519">
        <f>'17 R1 INV COMP'!X9</f>
        <v>0</v>
      </c>
      <c r="AA6" s="519">
        <f>'17 R1 INV COMP'!Y9</f>
        <v>0</v>
      </c>
      <c r="AB6" s="519">
        <f>'17 R1 INV COMP'!Z9</f>
        <v>0</v>
      </c>
      <c r="AC6" s="519">
        <f>'17 R1 INV COMP'!AA9</f>
        <v>0</v>
      </c>
      <c r="AD6" s="519">
        <f>'17 R1 INV COMP'!AB9</f>
        <v>0</v>
      </c>
      <c r="AE6" s="519">
        <f>'17 R1 INV COMP'!AC9</f>
        <v>0</v>
      </c>
      <c r="AF6" s="519">
        <f>'17 R1 INV COMP'!AD9</f>
        <v>0</v>
      </c>
      <c r="AG6" s="519">
        <f>'17 R1 INV COMP'!AE9</f>
        <v>0</v>
      </c>
      <c r="AH6" s="519">
        <f>'17 R1 INV COMP'!AF9</f>
        <v>0</v>
      </c>
      <c r="AI6" s="519">
        <f>'17 R1 INV COMP'!AG9</f>
        <v>0</v>
      </c>
      <c r="AJ6" s="519">
        <f>'17 R1 INV COMP'!AH9</f>
        <v>0</v>
      </c>
      <c r="AK6" s="519">
        <f>'17 R1 INV COMP'!AI9</f>
        <v>0</v>
      </c>
      <c r="AL6" s="519">
        <f>'17 R1 INV COMP'!AJ9</f>
        <v>0</v>
      </c>
      <c r="AM6" s="483"/>
      <c r="AN6" s="486">
        <f t="shared" si="0"/>
        <v>0</v>
      </c>
      <c r="AO6" s="483"/>
      <c r="AP6" s="483"/>
      <c r="AQ6" s="483"/>
      <c r="AR6" s="483"/>
      <c r="AS6" s="484"/>
      <c r="AT6" s="484"/>
      <c r="AU6" s="484"/>
      <c r="AV6" s="484"/>
    </row>
    <row r="7" spans="1:87">
      <c r="B7" s="185"/>
      <c r="C7" s="780" t="s">
        <v>412</v>
      </c>
      <c r="D7" s="252">
        <v>1</v>
      </c>
      <c r="E7" s="253" t="s">
        <v>249</v>
      </c>
      <c r="F7" s="504">
        <f>I7+J7+K7</f>
        <v>217998.1680197581</v>
      </c>
      <c r="G7" s="499">
        <f>'17 R1 INV COMP'!F11</f>
        <v>217998.1680197581</v>
      </c>
      <c r="H7" s="499" t="e">
        <f>'17 R1 INV COMP'!#REF!</f>
        <v>#REF!</v>
      </c>
      <c r="I7" s="499">
        <f>'17 R1 INV COMP'!G11</f>
        <v>114824.40634376337</v>
      </c>
      <c r="J7" s="499">
        <f>'17 R1 INV COMP'!H11</f>
        <v>28287.95200661978</v>
      </c>
      <c r="K7" s="499">
        <f>'17 R1 INV COMP'!I11</f>
        <v>74885.809669374954</v>
      </c>
      <c r="L7" s="499">
        <f>'17 R1 INV COMP'!J11</f>
        <v>0</v>
      </c>
      <c r="M7" s="499">
        <f>'17 R1 INV COMP'!K11</f>
        <v>0</v>
      </c>
      <c r="N7" s="499">
        <f>'17 R1 INV COMP'!L11</f>
        <v>0</v>
      </c>
      <c r="O7" s="499">
        <f>'17 R1 INV COMP'!M11</f>
        <v>0</v>
      </c>
      <c r="P7" s="499">
        <f>'17 R1 INV COMP'!N11</f>
        <v>0</v>
      </c>
      <c r="Q7" s="499">
        <f>'17 R1 INV COMP'!O11</f>
        <v>0</v>
      </c>
      <c r="R7" s="499">
        <f>'17 R1 INV COMP'!P11</f>
        <v>0</v>
      </c>
      <c r="S7" s="499">
        <f>'17 R1 INV COMP'!Q11</f>
        <v>0</v>
      </c>
      <c r="T7" s="499">
        <f>'17 R1 INV COMP'!R11</f>
        <v>0</v>
      </c>
      <c r="U7" s="499">
        <f>'17 R1 INV COMP'!S11</f>
        <v>0</v>
      </c>
      <c r="V7" s="499">
        <f>'17 R1 INV COMP'!T11</f>
        <v>0</v>
      </c>
      <c r="W7" s="499">
        <f>'17 R1 INV COMP'!U11</f>
        <v>0</v>
      </c>
      <c r="X7" s="499">
        <f>'17 R1 INV COMP'!V11</f>
        <v>0</v>
      </c>
      <c r="Y7" s="499">
        <f>'17 R1 INV COMP'!W11</f>
        <v>0</v>
      </c>
      <c r="Z7" s="499">
        <f>'17 R1 INV COMP'!X11</f>
        <v>0</v>
      </c>
      <c r="AA7" s="499">
        <f>'17 R1 INV COMP'!Y11</f>
        <v>0</v>
      </c>
      <c r="AB7" s="499">
        <f>'17 R1 INV COMP'!Z11</f>
        <v>0</v>
      </c>
      <c r="AC7" s="499">
        <f>'17 R1 INV COMP'!AA11</f>
        <v>0</v>
      </c>
      <c r="AD7" s="499">
        <f>'17 R1 INV COMP'!AB11</f>
        <v>0</v>
      </c>
      <c r="AE7" s="499">
        <f>'17 R1 INV COMP'!AC11</f>
        <v>0</v>
      </c>
      <c r="AF7" s="499">
        <f>'17 R1 INV COMP'!AD11</f>
        <v>0</v>
      </c>
      <c r="AG7" s="499">
        <f>'17 R1 INV COMP'!AE11</f>
        <v>0</v>
      </c>
      <c r="AH7" s="499">
        <f>'17 R1 INV COMP'!AF11</f>
        <v>0</v>
      </c>
      <c r="AI7" s="499">
        <f>'17 R1 INV COMP'!AG11</f>
        <v>0</v>
      </c>
      <c r="AJ7" s="499">
        <f>'17 R1 INV COMP'!AH11</f>
        <v>0</v>
      </c>
      <c r="AK7" s="499">
        <f>'17 R1 INV COMP'!AI11</f>
        <v>0</v>
      </c>
      <c r="AL7" s="499">
        <f>'17 R1 INV COMP'!AJ11</f>
        <v>0</v>
      </c>
      <c r="AM7" s="483"/>
      <c r="AN7" s="486">
        <f t="shared" si="0"/>
        <v>0</v>
      </c>
      <c r="AO7" s="483"/>
      <c r="AP7" s="483"/>
      <c r="AQ7" s="483"/>
      <c r="AR7" s="483"/>
      <c r="AS7" s="484"/>
      <c r="AT7" s="484"/>
      <c r="AU7" s="484"/>
      <c r="AV7" s="484"/>
    </row>
    <row r="8" spans="1:87">
      <c r="B8" s="185"/>
      <c r="C8" s="780" t="s">
        <v>250</v>
      </c>
      <c r="D8" s="252">
        <v>1</v>
      </c>
      <c r="E8" s="253" t="s">
        <v>249</v>
      </c>
      <c r="F8" s="504">
        <f>I8+J8+K8</f>
        <v>178181.47332223738</v>
      </c>
      <c r="G8" s="499">
        <f>'17 R1 INV COMP'!F13</f>
        <v>178181.47332223738</v>
      </c>
      <c r="H8" s="499" t="e">
        <f>'17 R1 INV COMP'!#REF!</f>
        <v>#REF!</v>
      </c>
      <c r="I8" s="499">
        <f>'17 R1 INV COMP'!G13</f>
        <v>148427.65537933988</v>
      </c>
      <c r="J8" s="499">
        <f>'17 R1 INV COMP'!H13</f>
        <v>12251.187422424493</v>
      </c>
      <c r="K8" s="499">
        <f>'17 R1 INV COMP'!I13</f>
        <v>17502.630520473009</v>
      </c>
      <c r="L8" s="499">
        <f>'17 R1 INV COMP'!J13</f>
        <v>0</v>
      </c>
      <c r="M8" s="499">
        <f>'17 R1 INV COMP'!K13</f>
        <v>0</v>
      </c>
      <c r="N8" s="499">
        <f>'17 R1 INV COMP'!L13</f>
        <v>0</v>
      </c>
      <c r="O8" s="499">
        <f>'17 R1 INV COMP'!M13</f>
        <v>0</v>
      </c>
      <c r="P8" s="499">
        <f>'17 R1 INV COMP'!N13</f>
        <v>0</v>
      </c>
      <c r="Q8" s="499">
        <f>'17 R1 INV COMP'!O13</f>
        <v>0</v>
      </c>
      <c r="R8" s="499">
        <f>'17 R1 INV COMP'!P13</f>
        <v>0</v>
      </c>
      <c r="S8" s="499">
        <f>'17 R1 INV COMP'!Q13</f>
        <v>0</v>
      </c>
      <c r="T8" s="499">
        <f>'17 R1 INV COMP'!R13</f>
        <v>0</v>
      </c>
      <c r="U8" s="499">
        <f>'17 R1 INV COMP'!S13</f>
        <v>0</v>
      </c>
      <c r="V8" s="499">
        <f>'17 R1 INV COMP'!T13</f>
        <v>0</v>
      </c>
      <c r="W8" s="499">
        <f>'17 R1 INV COMP'!U13</f>
        <v>0</v>
      </c>
      <c r="X8" s="499">
        <f>'17 R1 INV COMP'!V13</f>
        <v>0</v>
      </c>
      <c r="Y8" s="499">
        <f>'17 R1 INV COMP'!W13</f>
        <v>0</v>
      </c>
      <c r="Z8" s="499">
        <f>'17 R1 INV COMP'!X13</f>
        <v>0</v>
      </c>
      <c r="AA8" s="499">
        <f>'17 R1 INV COMP'!Y13</f>
        <v>0</v>
      </c>
      <c r="AB8" s="499">
        <f>'17 R1 INV COMP'!Z13</f>
        <v>0</v>
      </c>
      <c r="AC8" s="499">
        <f>'17 R1 INV COMP'!AA13</f>
        <v>0</v>
      </c>
      <c r="AD8" s="499">
        <f>'17 R1 INV COMP'!AB13</f>
        <v>0</v>
      </c>
      <c r="AE8" s="499">
        <f>'17 R1 INV COMP'!AC13</f>
        <v>0</v>
      </c>
      <c r="AF8" s="499">
        <f>'17 R1 INV COMP'!AD13</f>
        <v>0</v>
      </c>
      <c r="AG8" s="499">
        <f>'17 R1 INV COMP'!AE13</f>
        <v>0</v>
      </c>
      <c r="AH8" s="499">
        <f>'17 R1 INV COMP'!AF13</f>
        <v>0</v>
      </c>
      <c r="AI8" s="499">
        <f>'17 R1 INV COMP'!AG13</f>
        <v>0</v>
      </c>
      <c r="AJ8" s="499">
        <f>'17 R1 INV COMP'!AH13</f>
        <v>0</v>
      </c>
      <c r="AK8" s="499">
        <f>'17 R1 INV COMP'!AI13</f>
        <v>0</v>
      </c>
      <c r="AL8" s="499">
        <f>'17 R1 INV COMP'!AJ13</f>
        <v>0</v>
      </c>
      <c r="AM8" s="483"/>
      <c r="AN8" s="486">
        <f t="shared" si="0"/>
        <v>0</v>
      </c>
      <c r="AO8" s="483"/>
      <c r="AP8" s="483"/>
      <c r="AQ8" s="483"/>
      <c r="AR8" s="483"/>
      <c r="AS8" s="484"/>
      <c r="AT8" s="484"/>
      <c r="AU8" s="484"/>
      <c r="AV8" s="484"/>
    </row>
    <row r="9" spans="1:87">
      <c r="B9" s="185"/>
      <c r="C9" s="780" t="s">
        <v>431</v>
      </c>
      <c r="D9" s="252">
        <v>1</v>
      </c>
      <c r="E9" s="253" t="s">
        <v>249</v>
      </c>
      <c r="F9" s="504">
        <v>76649.971694809894</v>
      </c>
      <c r="G9" s="499">
        <f>'17 R1 INV COMP'!F15</f>
        <v>76649.971694809894</v>
      </c>
      <c r="H9" s="499" t="e">
        <f>'17 R1 INV COMP'!#REF!</f>
        <v>#REF!</v>
      </c>
      <c r="I9" s="499">
        <f>'17 R1 INV COMP'!G15</f>
        <v>1594.5135019288468</v>
      </c>
      <c r="J9" s="499">
        <f>'17 R1 INV COMP'!H15</f>
        <v>0</v>
      </c>
      <c r="K9" s="499">
        <f>'17 R1 INV COMP'!I15</f>
        <v>2973.2121309629151</v>
      </c>
      <c r="L9" s="499">
        <f>'17 R1 INV COMP'!J15</f>
        <v>72082.246061918137</v>
      </c>
      <c r="M9" s="499">
        <f>'17 R1 INV COMP'!K15</f>
        <v>0</v>
      </c>
      <c r="N9" s="499">
        <f>'17 R1 INV COMP'!L15</f>
        <v>0</v>
      </c>
      <c r="O9" s="499">
        <f>'17 R1 INV COMP'!M15</f>
        <v>0</v>
      </c>
      <c r="P9" s="499">
        <f>'17 R1 INV COMP'!N15</f>
        <v>0</v>
      </c>
      <c r="Q9" s="499">
        <f>'17 R1 INV COMP'!O15</f>
        <v>0</v>
      </c>
      <c r="R9" s="499">
        <f>'17 R1 INV COMP'!P15</f>
        <v>0</v>
      </c>
      <c r="S9" s="499">
        <f>'17 R1 INV COMP'!Q15</f>
        <v>0</v>
      </c>
      <c r="T9" s="499">
        <f>'17 R1 INV COMP'!R15</f>
        <v>0</v>
      </c>
      <c r="U9" s="499">
        <f>'17 R1 INV COMP'!S15</f>
        <v>0</v>
      </c>
      <c r="V9" s="499">
        <f>'17 R1 INV COMP'!T15</f>
        <v>0</v>
      </c>
      <c r="W9" s="499">
        <f>'17 R1 INV COMP'!U15</f>
        <v>0</v>
      </c>
      <c r="X9" s="499">
        <f>'17 R1 INV COMP'!V15</f>
        <v>0</v>
      </c>
      <c r="Y9" s="499">
        <f>'17 R1 INV COMP'!W15</f>
        <v>0</v>
      </c>
      <c r="Z9" s="499">
        <f>'17 R1 INV COMP'!X15</f>
        <v>0</v>
      </c>
      <c r="AA9" s="499">
        <f>'17 R1 INV COMP'!Y15</f>
        <v>0</v>
      </c>
      <c r="AB9" s="499">
        <f>'17 R1 INV COMP'!Z15</f>
        <v>0</v>
      </c>
      <c r="AC9" s="499">
        <f>'17 R1 INV COMP'!AA15</f>
        <v>0</v>
      </c>
      <c r="AD9" s="499">
        <f>'17 R1 INV COMP'!AB15</f>
        <v>0</v>
      </c>
      <c r="AE9" s="499">
        <f>'17 R1 INV COMP'!AC15</f>
        <v>0</v>
      </c>
      <c r="AF9" s="499">
        <f>'17 R1 INV COMP'!AD15</f>
        <v>0</v>
      </c>
      <c r="AG9" s="499">
        <f>'17 R1 INV COMP'!AE15</f>
        <v>0</v>
      </c>
      <c r="AH9" s="499">
        <f>'17 R1 INV COMP'!AF15</f>
        <v>0</v>
      </c>
      <c r="AI9" s="499">
        <f>'17 R1 INV COMP'!AG15</f>
        <v>0</v>
      </c>
      <c r="AJ9" s="499">
        <f>'17 R1 INV COMP'!AH15</f>
        <v>0</v>
      </c>
      <c r="AK9" s="499">
        <f>'17 R1 INV COMP'!AI15</f>
        <v>0</v>
      </c>
      <c r="AL9" s="499">
        <f>'17 R1 INV COMP'!AJ15</f>
        <v>0</v>
      </c>
      <c r="AM9" s="483"/>
      <c r="AN9" s="486">
        <f t="shared" si="0"/>
        <v>0</v>
      </c>
      <c r="AO9" s="483"/>
      <c r="AP9" s="483"/>
      <c r="AQ9" s="483"/>
      <c r="AR9" s="483"/>
      <c r="AS9" s="484"/>
      <c r="AT9" s="484"/>
      <c r="AU9" s="484"/>
      <c r="AV9" s="484"/>
    </row>
    <row r="10" spans="1:87">
      <c r="B10" s="185"/>
      <c r="C10" s="781" t="s">
        <v>433</v>
      </c>
      <c r="D10" s="252">
        <v>1</v>
      </c>
      <c r="E10" s="253" t="s">
        <v>249</v>
      </c>
      <c r="F10" s="504">
        <f>SUM(I10:K10)</f>
        <v>52896.083529373616</v>
      </c>
      <c r="G10" s="499">
        <f>'17 R1 INV COMP'!F17</f>
        <v>52896.083529373616</v>
      </c>
      <c r="H10" s="499" t="e">
        <f>'17 R1 INV COMP'!#REF!</f>
        <v>#REF!</v>
      </c>
      <c r="I10" s="499">
        <f>'17 R1 INV COMP'!G17</f>
        <v>10194.599228461208</v>
      </c>
      <c r="J10" s="499">
        <f>'17 R1 INV COMP'!H17</f>
        <v>24951.88249896566</v>
      </c>
      <c r="K10" s="499">
        <f>'17 R1 INV COMP'!I17</f>
        <v>17749.601801946745</v>
      </c>
      <c r="L10" s="499">
        <f>'17 R1 INV COMP'!J17</f>
        <v>0</v>
      </c>
      <c r="M10" s="499">
        <f>'17 R1 INV COMP'!K17</f>
        <v>0</v>
      </c>
      <c r="N10" s="499">
        <f>'17 R1 INV COMP'!L17</f>
        <v>0</v>
      </c>
      <c r="O10" s="499">
        <f>'17 R1 INV COMP'!M17</f>
        <v>0</v>
      </c>
      <c r="P10" s="499">
        <f>'17 R1 INV COMP'!N17</f>
        <v>0</v>
      </c>
      <c r="Q10" s="499">
        <f>'17 R1 INV COMP'!O17</f>
        <v>0</v>
      </c>
      <c r="R10" s="499">
        <f>'17 R1 INV COMP'!P17</f>
        <v>0</v>
      </c>
      <c r="S10" s="499">
        <f>'17 R1 INV COMP'!Q17</f>
        <v>0</v>
      </c>
      <c r="T10" s="499">
        <f>'17 R1 INV COMP'!R17</f>
        <v>0</v>
      </c>
      <c r="U10" s="499">
        <f>'17 R1 INV COMP'!S17</f>
        <v>0</v>
      </c>
      <c r="V10" s="499">
        <f>'17 R1 INV COMP'!T17</f>
        <v>0</v>
      </c>
      <c r="W10" s="499">
        <f>'17 R1 INV COMP'!U17</f>
        <v>0</v>
      </c>
      <c r="X10" s="499">
        <f>'17 R1 INV COMP'!V17</f>
        <v>0</v>
      </c>
      <c r="Y10" s="499">
        <f>'17 R1 INV COMP'!W17</f>
        <v>0</v>
      </c>
      <c r="Z10" s="499">
        <f>'17 R1 INV COMP'!X17</f>
        <v>0</v>
      </c>
      <c r="AA10" s="499">
        <f>'17 R1 INV COMP'!Y17</f>
        <v>0</v>
      </c>
      <c r="AB10" s="499">
        <f>'17 R1 INV COMP'!Z17</f>
        <v>0</v>
      </c>
      <c r="AC10" s="499">
        <f>'17 R1 INV COMP'!AA17</f>
        <v>0</v>
      </c>
      <c r="AD10" s="499">
        <f>'17 R1 INV COMP'!AB17</f>
        <v>0</v>
      </c>
      <c r="AE10" s="499">
        <f>'17 R1 INV COMP'!AC17</f>
        <v>0</v>
      </c>
      <c r="AF10" s="499">
        <f>'17 R1 INV COMP'!AD17</f>
        <v>0</v>
      </c>
      <c r="AG10" s="499">
        <f>'17 R1 INV COMP'!AE17</f>
        <v>0</v>
      </c>
      <c r="AH10" s="499">
        <f>'17 R1 INV COMP'!AF17</f>
        <v>0</v>
      </c>
      <c r="AI10" s="499">
        <f>'17 R1 INV COMP'!AG17</f>
        <v>0</v>
      </c>
      <c r="AJ10" s="499">
        <f>'17 R1 INV COMP'!AH17</f>
        <v>0</v>
      </c>
      <c r="AK10" s="499">
        <f>'17 R1 INV COMP'!AI17</f>
        <v>0</v>
      </c>
      <c r="AL10" s="499">
        <f>'17 R1 INV COMP'!AJ17</f>
        <v>0</v>
      </c>
      <c r="AM10" s="483"/>
      <c r="AN10" s="486">
        <f t="shared" si="0"/>
        <v>0</v>
      </c>
      <c r="AO10" s="483"/>
      <c r="AP10" s="483"/>
      <c r="AQ10" s="483"/>
      <c r="AR10" s="483"/>
      <c r="AS10" s="484"/>
      <c r="AT10" s="484"/>
      <c r="AU10" s="484"/>
      <c r="AV10" s="484"/>
    </row>
    <row r="11" spans="1:87">
      <c r="B11" s="185"/>
      <c r="C11" s="782" t="s">
        <v>440</v>
      </c>
      <c r="D11" s="252">
        <v>2</v>
      </c>
      <c r="E11" s="253" t="s">
        <v>142</v>
      </c>
      <c r="F11" s="504">
        <v>4087.9984903898617</v>
      </c>
      <c r="G11" s="499">
        <f>'17 R1 INV COMP'!F19</f>
        <v>713.24474924989283</v>
      </c>
      <c r="H11" s="499" t="e">
        <f>'17 R1 INV COMP'!#REF!</f>
        <v>#REF!</v>
      </c>
      <c r="I11" s="499">
        <f>'17 R1 INV COMP'!G19</f>
        <v>713.24474924989283</v>
      </c>
      <c r="J11" s="499">
        <f>'17 R1 INV COMP'!H19</f>
        <v>0</v>
      </c>
      <c r="K11" s="499">
        <f>'17 R1 INV COMP'!I19</f>
        <v>0</v>
      </c>
      <c r="L11" s="499">
        <f>'17 R1 INV COMP'!J19</f>
        <v>0</v>
      </c>
      <c r="M11" s="499">
        <f>'17 R1 INV COMP'!K19</f>
        <v>0</v>
      </c>
      <c r="N11" s="499">
        <f>'17 R1 INV COMP'!L19</f>
        <v>0</v>
      </c>
      <c r="O11" s="499">
        <f>'17 R1 INV COMP'!M19</f>
        <v>0</v>
      </c>
      <c r="P11" s="499">
        <f>'17 R1 INV COMP'!N19</f>
        <v>0</v>
      </c>
      <c r="Q11" s="499">
        <f>'17 R1 INV COMP'!O19</f>
        <v>0</v>
      </c>
      <c r="R11" s="499">
        <f>'17 R1 INV COMP'!P19</f>
        <v>0</v>
      </c>
      <c r="S11" s="499">
        <f>'17 R1 INV COMP'!Q19</f>
        <v>0</v>
      </c>
      <c r="T11" s="499">
        <f>'17 R1 INV COMP'!R19</f>
        <v>0</v>
      </c>
      <c r="U11" s="499">
        <f>'17 R1 INV COMP'!S19</f>
        <v>0</v>
      </c>
      <c r="V11" s="499">
        <f>'17 R1 INV COMP'!T19</f>
        <v>0</v>
      </c>
      <c r="W11" s="499">
        <f>'17 R1 INV COMP'!U19</f>
        <v>0</v>
      </c>
      <c r="X11" s="499">
        <f>'17 R1 INV COMP'!V19</f>
        <v>0</v>
      </c>
      <c r="Y11" s="499">
        <f>'17 R1 INV COMP'!W19</f>
        <v>0</v>
      </c>
      <c r="Z11" s="499">
        <f>'17 R1 INV COMP'!X19</f>
        <v>0</v>
      </c>
      <c r="AA11" s="499">
        <f>'17 R1 INV COMP'!Y19</f>
        <v>0</v>
      </c>
      <c r="AB11" s="499">
        <f>'17 R1 INV COMP'!Z19</f>
        <v>0</v>
      </c>
      <c r="AC11" s="499">
        <f>'17 R1 INV COMP'!AA19</f>
        <v>0</v>
      </c>
      <c r="AD11" s="499">
        <f>'17 R1 INV COMP'!AB19</f>
        <v>0</v>
      </c>
      <c r="AE11" s="499">
        <f>'17 R1 INV COMP'!AC19</f>
        <v>0</v>
      </c>
      <c r="AF11" s="499">
        <f>'17 R1 INV COMP'!AD19</f>
        <v>0</v>
      </c>
      <c r="AG11" s="499">
        <f>'17 R1 INV COMP'!AE19</f>
        <v>0</v>
      </c>
      <c r="AH11" s="499">
        <f>'17 R1 INV COMP'!AF19</f>
        <v>0</v>
      </c>
      <c r="AI11" s="499">
        <f>'17 R1 INV COMP'!AG19</f>
        <v>0</v>
      </c>
      <c r="AJ11" s="499">
        <f>'17 R1 INV COMP'!AH19</f>
        <v>0</v>
      </c>
      <c r="AK11" s="499">
        <f>'17 R1 INV COMP'!AI19</f>
        <v>0</v>
      </c>
      <c r="AL11" s="499">
        <f>'17 R1 INV COMP'!AJ19</f>
        <v>0</v>
      </c>
      <c r="AM11" s="483"/>
      <c r="AN11" s="486">
        <f t="shared" si="0"/>
        <v>0</v>
      </c>
      <c r="AO11" s="483"/>
      <c r="AP11" s="483"/>
      <c r="AQ11" s="483"/>
      <c r="AR11" s="483"/>
      <c r="AS11" s="484"/>
      <c r="AT11" s="484"/>
      <c r="AU11" s="484"/>
      <c r="AV11" s="484"/>
    </row>
    <row r="12" spans="1:87">
      <c r="B12" s="185"/>
      <c r="C12" s="782" t="s">
        <v>442</v>
      </c>
      <c r="D12" s="252">
        <v>3</v>
      </c>
      <c r="E12" s="253" t="s">
        <v>142</v>
      </c>
      <c r="F12" s="504">
        <v>2043.9992451949308</v>
      </c>
      <c r="G12" s="499">
        <f>'17 R1 INV COMP'!F21</f>
        <v>0</v>
      </c>
      <c r="H12" s="499" t="e">
        <f>'17 R1 INV COMP'!#REF!</f>
        <v>#REF!</v>
      </c>
      <c r="I12" s="499">
        <f>'17 R1 INV COMP'!G21</f>
        <v>0</v>
      </c>
      <c r="J12" s="499">
        <f>'17 R1 INV COMP'!H21</f>
        <v>0</v>
      </c>
      <c r="K12" s="499">
        <f>'17 R1 INV COMP'!I21</f>
        <v>0</v>
      </c>
      <c r="L12" s="499">
        <f>'17 R1 INV COMP'!J21</f>
        <v>0</v>
      </c>
      <c r="M12" s="499">
        <f>'17 R1 INV COMP'!K21</f>
        <v>0</v>
      </c>
      <c r="N12" s="499">
        <f>'17 R1 INV COMP'!L21</f>
        <v>0</v>
      </c>
      <c r="O12" s="499">
        <f>'17 R1 INV COMP'!M21</f>
        <v>0</v>
      </c>
      <c r="P12" s="499">
        <f>'17 R1 INV COMP'!N21</f>
        <v>0</v>
      </c>
      <c r="Q12" s="499">
        <f>'17 R1 INV COMP'!O21</f>
        <v>0</v>
      </c>
      <c r="R12" s="499">
        <f>'17 R1 INV COMP'!P21</f>
        <v>0</v>
      </c>
      <c r="S12" s="499">
        <f>'17 R1 INV COMP'!Q21</f>
        <v>0</v>
      </c>
      <c r="T12" s="499">
        <f>'17 R1 INV COMP'!R21</f>
        <v>0</v>
      </c>
      <c r="U12" s="499">
        <f>'17 R1 INV COMP'!S21</f>
        <v>0</v>
      </c>
      <c r="V12" s="499">
        <f>'17 R1 INV COMP'!T21</f>
        <v>0</v>
      </c>
      <c r="W12" s="499">
        <f>'17 R1 INV COMP'!U21</f>
        <v>0</v>
      </c>
      <c r="X12" s="499">
        <f>'17 R1 INV COMP'!V21</f>
        <v>0</v>
      </c>
      <c r="Y12" s="499">
        <f>'17 R1 INV COMP'!W21</f>
        <v>0</v>
      </c>
      <c r="Z12" s="499">
        <f>'17 R1 INV COMP'!X21</f>
        <v>0</v>
      </c>
      <c r="AA12" s="499">
        <f>'17 R1 INV COMP'!Y21</f>
        <v>0</v>
      </c>
      <c r="AB12" s="499">
        <f>'17 R1 INV COMP'!Z21</f>
        <v>0</v>
      </c>
      <c r="AC12" s="499">
        <f>'17 R1 INV COMP'!AA21</f>
        <v>0</v>
      </c>
      <c r="AD12" s="499">
        <f>'17 R1 INV COMP'!AB21</f>
        <v>0</v>
      </c>
      <c r="AE12" s="499">
        <f>'17 R1 INV COMP'!AC21</f>
        <v>0</v>
      </c>
      <c r="AF12" s="499">
        <f>'17 R1 INV COMP'!AD21</f>
        <v>0</v>
      </c>
      <c r="AG12" s="499">
        <f>'17 R1 INV COMP'!AE21</f>
        <v>0</v>
      </c>
      <c r="AH12" s="499">
        <f>'17 R1 INV COMP'!AF21</f>
        <v>0</v>
      </c>
      <c r="AI12" s="499">
        <f>'17 R1 INV COMP'!AG21</f>
        <v>0</v>
      </c>
      <c r="AJ12" s="499">
        <f>'17 R1 INV COMP'!AH21</f>
        <v>0</v>
      </c>
      <c r="AK12" s="499">
        <f>'17 R1 INV COMP'!AI21</f>
        <v>0</v>
      </c>
      <c r="AL12" s="499">
        <f>'17 R1 INV COMP'!AJ21</f>
        <v>0</v>
      </c>
      <c r="AM12" s="483"/>
      <c r="AN12" s="486">
        <f t="shared" si="0"/>
        <v>0</v>
      </c>
      <c r="AO12" s="483"/>
      <c r="AP12" s="483"/>
      <c r="AQ12" s="483"/>
      <c r="AR12" s="483"/>
      <c r="AS12" s="484"/>
      <c r="AT12" s="484"/>
      <c r="AU12" s="484"/>
      <c r="AV12" s="484"/>
    </row>
    <row r="13" spans="1:87" ht="13.5" thickBot="1">
      <c r="B13" s="186"/>
      <c r="C13" s="187"/>
      <c r="D13" s="188"/>
      <c r="E13" s="254"/>
      <c r="F13" s="505"/>
      <c r="G13" s="500"/>
      <c r="H13" s="500"/>
      <c r="I13" s="500"/>
      <c r="J13" s="500"/>
      <c r="K13" s="500"/>
      <c r="L13" s="500"/>
      <c r="M13" s="500"/>
      <c r="N13" s="500"/>
      <c r="O13" s="500"/>
      <c r="P13" s="500"/>
      <c r="Q13" s="500"/>
      <c r="R13" s="500"/>
      <c r="S13" s="500"/>
      <c r="T13" s="500"/>
      <c r="U13" s="500"/>
      <c r="V13" s="500"/>
      <c r="W13" s="500"/>
      <c r="X13" s="500"/>
      <c r="Y13" s="500"/>
      <c r="Z13" s="500"/>
      <c r="AA13" s="500"/>
      <c r="AB13" s="500"/>
      <c r="AC13" s="500"/>
      <c r="AD13" s="500"/>
      <c r="AE13" s="500"/>
      <c r="AF13" s="500"/>
      <c r="AG13" s="500"/>
      <c r="AH13" s="500"/>
      <c r="AI13" s="500"/>
      <c r="AJ13" s="500"/>
      <c r="AK13" s="500"/>
      <c r="AL13" s="500"/>
      <c r="AM13" s="483"/>
      <c r="AN13" s="486">
        <f t="shared" si="0"/>
        <v>0</v>
      </c>
      <c r="AO13" s="483"/>
      <c r="AP13" s="483"/>
      <c r="AQ13" s="483"/>
      <c r="AR13" s="483"/>
      <c r="AS13" s="484"/>
      <c r="AT13" s="484"/>
      <c r="AU13" s="484"/>
      <c r="AV13" s="484"/>
    </row>
    <row r="14" spans="1:87" ht="13.5" thickBot="1">
      <c r="E14" s="275"/>
      <c r="F14" s="508"/>
      <c r="G14" s="508"/>
      <c r="H14" s="508"/>
      <c r="I14" s="508"/>
      <c r="J14" s="508"/>
      <c r="K14" s="508"/>
      <c r="L14" s="508"/>
      <c r="M14" s="508"/>
      <c r="N14" s="508"/>
      <c r="O14" s="508"/>
      <c r="P14" s="508"/>
      <c r="Q14" s="508"/>
      <c r="R14" s="508"/>
      <c r="S14" s="508"/>
      <c r="T14" s="508"/>
      <c r="U14" s="508"/>
      <c r="V14" s="508"/>
      <c r="W14" s="508"/>
      <c r="X14" s="508"/>
      <c r="Y14" s="508"/>
      <c r="Z14" s="508"/>
      <c r="AA14" s="508"/>
      <c r="AB14" s="508"/>
      <c r="AC14" s="508"/>
      <c r="AD14" s="508"/>
      <c r="AE14" s="508"/>
      <c r="AF14" s="508"/>
      <c r="AG14" s="508"/>
      <c r="AH14" s="508"/>
      <c r="AI14" s="508"/>
      <c r="AJ14" s="508"/>
      <c r="AK14" s="508"/>
      <c r="AL14" s="508"/>
      <c r="AM14" s="483"/>
      <c r="AN14" s="486">
        <f t="shared" si="0"/>
        <v>0</v>
      </c>
      <c r="AO14" s="483"/>
      <c r="AP14" s="483"/>
      <c r="AQ14" s="483"/>
      <c r="AR14" s="483"/>
      <c r="AS14" s="484"/>
      <c r="AT14" s="484"/>
      <c r="AU14" s="484"/>
      <c r="AV14" s="484"/>
    </row>
    <row r="15" spans="1:87" ht="13.5" thickBot="1">
      <c r="A15" s="882"/>
      <c r="B15" s="783" t="s">
        <v>148</v>
      </c>
      <c r="C15" s="784" t="s">
        <v>149</v>
      </c>
      <c r="D15" s="461"/>
      <c r="E15" s="462"/>
      <c r="F15" s="785"/>
      <c r="G15" s="521">
        <f>SUM(G16:G16)</f>
        <v>0</v>
      </c>
      <c r="H15" s="521">
        <f t="shared" ref="H15:AL15" si="1">SUM(H16:H16)</f>
        <v>0</v>
      </c>
      <c r="I15" s="521">
        <f t="shared" si="1"/>
        <v>0</v>
      </c>
      <c r="J15" s="521">
        <f t="shared" si="1"/>
        <v>0</v>
      </c>
      <c r="K15" s="521">
        <f t="shared" si="1"/>
        <v>0</v>
      </c>
      <c r="L15" s="521">
        <f t="shared" si="1"/>
        <v>0</v>
      </c>
      <c r="M15" s="521">
        <f t="shared" si="1"/>
        <v>0</v>
      </c>
      <c r="N15" s="521">
        <f t="shared" si="1"/>
        <v>0</v>
      </c>
      <c r="O15" s="521">
        <f t="shared" si="1"/>
        <v>0</v>
      </c>
      <c r="P15" s="521">
        <f t="shared" si="1"/>
        <v>0</v>
      </c>
      <c r="Q15" s="521">
        <f t="shared" si="1"/>
        <v>0</v>
      </c>
      <c r="R15" s="521">
        <f t="shared" si="1"/>
        <v>0</v>
      </c>
      <c r="S15" s="521">
        <f t="shared" si="1"/>
        <v>0</v>
      </c>
      <c r="T15" s="521">
        <f t="shared" si="1"/>
        <v>0</v>
      </c>
      <c r="U15" s="521">
        <f t="shared" si="1"/>
        <v>0</v>
      </c>
      <c r="V15" s="521">
        <f t="shared" si="1"/>
        <v>0</v>
      </c>
      <c r="W15" s="521">
        <f t="shared" si="1"/>
        <v>0</v>
      </c>
      <c r="X15" s="521">
        <f t="shared" si="1"/>
        <v>0</v>
      </c>
      <c r="Y15" s="521">
        <f t="shared" si="1"/>
        <v>0</v>
      </c>
      <c r="Z15" s="521">
        <f t="shared" si="1"/>
        <v>0</v>
      </c>
      <c r="AA15" s="521">
        <f t="shared" si="1"/>
        <v>0</v>
      </c>
      <c r="AB15" s="521">
        <f t="shared" si="1"/>
        <v>0</v>
      </c>
      <c r="AC15" s="521">
        <f t="shared" si="1"/>
        <v>0</v>
      </c>
      <c r="AD15" s="521">
        <f t="shared" si="1"/>
        <v>0</v>
      </c>
      <c r="AE15" s="521">
        <f t="shared" si="1"/>
        <v>0</v>
      </c>
      <c r="AF15" s="521">
        <f t="shared" si="1"/>
        <v>0</v>
      </c>
      <c r="AG15" s="521">
        <f t="shared" si="1"/>
        <v>0</v>
      </c>
      <c r="AH15" s="521">
        <f t="shared" si="1"/>
        <v>0</v>
      </c>
      <c r="AI15" s="521">
        <f t="shared" si="1"/>
        <v>0</v>
      </c>
      <c r="AJ15" s="521">
        <f t="shared" si="1"/>
        <v>0</v>
      </c>
      <c r="AK15" s="521">
        <f t="shared" si="1"/>
        <v>0</v>
      </c>
      <c r="AL15" s="521">
        <f t="shared" si="1"/>
        <v>0</v>
      </c>
      <c r="AM15" s="487"/>
      <c r="AN15" s="486">
        <f t="shared" si="0"/>
        <v>0</v>
      </c>
      <c r="AO15" s="487"/>
      <c r="AP15" s="487"/>
      <c r="AQ15" s="487"/>
      <c r="AR15" s="487"/>
      <c r="AS15" s="485"/>
      <c r="AT15" s="485"/>
      <c r="AU15" s="485"/>
      <c r="AV15" s="485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</row>
    <row r="16" spans="1:87" ht="13.5" thickBot="1">
      <c r="B16" s="192"/>
      <c r="C16" s="187"/>
      <c r="D16" s="193"/>
      <c r="E16" s="257"/>
      <c r="F16" s="506"/>
      <c r="G16" s="500"/>
      <c r="H16" s="500"/>
      <c r="I16" s="500"/>
      <c r="J16" s="500"/>
      <c r="K16" s="500"/>
      <c r="L16" s="500"/>
      <c r="M16" s="500"/>
      <c r="N16" s="500"/>
      <c r="O16" s="500"/>
      <c r="P16" s="500"/>
      <c r="Q16" s="500"/>
      <c r="R16" s="500"/>
      <c r="S16" s="500"/>
      <c r="T16" s="500"/>
      <c r="U16" s="500"/>
      <c r="V16" s="500"/>
      <c r="W16" s="500"/>
      <c r="X16" s="500"/>
      <c r="Y16" s="500"/>
      <c r="Z16" s="500"/>
      <c r="AA16" s="500"/>
      <c r="AB16" s="500"/>
      <c r="AC16" s="500"/>
      <c r="AD16" s="500"/>
      <c r="AE16" s="500"/>
      <c r="AF16" s="500"/>
      <c r="AG16" s="500"/>
      <c r="AH16" s="500"/>
      <c r="AI16" s="500"/>
      <c r="AJ16" s="500"/>
      <c r="AK16" s="500"/>
      <c r="AL16" s="500"/>
      <c r="AM16" s="483"/>
      <c r="AN16" s="486">
        <f t="shared" si="0"/>
        <v>0</v>
      </c>
      <c r="AO16" s="483"/>
      <c r="AP16" s="483"/>
      <c r="AQ16" s="483"/>
      <c r="AR16" s="483"/>
      <c r="AS16" s="484"/>
      <c r="AT16" s="484"/>
      <c r="AU16" s="484"/>
      <c r="AV16" s="484"/>
    </row>
    <row r="17" spans="1:87" ht="13.5" thickBot="1">
      <c r="E17" s="275"/>
      <c r="F17" s="508"/>
      <c r="G17" s="508"/>
      <c r="I17" s="571" t="s">
        <v>360</v>
      </c>
      <c r="J17" s="571" t="s">
        <v>361</v>
      </c>
      <c r="K17" s="571" t="s">
        <v>362</v>
      </c>
      <c r="L17" s="571" t="s">
        <v>363</v>
      </c>
      <c r="M17" s="571" t="s">
        <v>364</v>
      </c>
      <c r="N17" s="571" t="s">
        <v>365</v>
      </c>
      <c r="O17" s="571" t="s">
        <v>366</v>
      </c>
      <c r="P17" s="571" t="s">
        <v>367</v>
      </c>
      <c r="Q17" s="571" t="s">
        <v>368</v>
      </c>
      <c r="R17" s="571" t="s">
        <v>369</v>
      </c>
      <c r="S17" s="571" t="s">
        <v>370</v>
      </c>
      <c r="T17" s="571" t="s">
        <v>371</v>
      </c>
      <c r="U17" s="571" t="s">
        <v>372</v>
      </c>
      <c r="V17" s="571" t="s">
        <v>373</v>
      </c>
      <c r="W17" s="571" t="s">
        <v>374</v>
      </c>
      <c r="X17" s="571" t="s">
        <v>375</v>
      </c>
      <c r="Y17" s="571" t="s">
        <v>376</v>
      </c>
      <c r="Z17" s="571" t="s">
        <v>377</v>
      </c>
      <c r="AA17" s="571" t="s">
        <v>378</v>
      </c>
      <c r="AB17" s="571" t="s">
        <v>379</v>
      </c>
      <c r="AC17" s="571" t="s">
        <v>380</v>
      </c>
      <c r="AD17" s="571" t="s">
        <v>381</v>
      </c>
      <c r="AE17" s="571" t="s">
        <v>382</v>
      </c>
      <c r="AF17" s="571" t="s">
        <v>383</v>
      </c>
      <c r="AG17" s="571" t="s">
        <v>384</v>
      </c>
      <c r="AH17" s="571" t="s">
        <v>385</v>
      </c>
      <c r="AI17" s="571" t="s">
        <v>386</v>
      </c>
      <c r="AJ17" s="571" t="s">
        <v>387</v>
      </c>
      <c r="AK17" s="571" t="s">
        <v>388</v>
      </c>
      <c r="AL17" s="571" t="s">
        <v>389</v>
      </c>
      <c r="AM17" s="483"/>
      <c r="AN17" s="486">
        <f t="shared" si="0"/>
        <v>0</v>
      </c>
      <c r="AO17" s="483"/>
      <c r="AP17" s="483"/>
      <c r="AQ17" s="483"/>
      <c r="AR17" s="483"/>
      <c r="AS17" s="484"/>
      <c r="AT17" s="484"/>
      <c r="AU17" s="484"/>
      <c r="AV17" s="484"/>
    </row>
    <row r="18" spans="1:87" ht="13.5" thickBot="1">
      <c r="A18" s="882"/>
      <c r="B18" s="783" t="s">
        <v>150</v>
      </c>
      <c r="C18" s="460" t="s">
        <v>151</v>
      </c>
      <c r="D18" s="786"/>
      <c r="E18" s="787"/>
      <c r="F18" s="788"/>
      <c r="G18" s="521">
        <f>'17 R1 INV COMP'!F29</f>
        <v>586522.6986858414</v>
      </c>
      <c r="H18" s="521" t="e">
        <f>'17 R1 INV COMP'!#REF!</f>
        <v>#REF!</v>
      </c>
      <c r="I18" s="521">
        <f>'17 R1 INV COMP'!G29</f>
        <v>0</v>
      </c>
      <c r="J18" s="521">
        <f>'17 R1 INV COMP'!H29</f>
        <v>195290.85643359539</v>
      </c>
      <c r="K18" s="521">
        <f>'17 R1 INV COMP'!I29</f>
        <v>0</v>
      </c>
      <c r="L18" s="521">
        <f>'17 R1 INV COMP'!J29</f>
        <v>391231.84225224599</v>
      </c>
      <c r="M18" s="521">
        <f>'17 R1 INV COMP'!K29</f>
        <v>0</v>
      </c>
      <c r="N18" s="521">
        <f>'17 R1 INV COMP'!L29</f>
        <v>0</v>
      </c>
      <c r="O18" s="521">
        <f>'17 R1 INV COMP'!M29</f>
        <v>0</v>
      </c>
      <c r="P18" s="521">
        <f>'17 R1 INV COMP'!N29</f>
        <v>0</v>
      </c>
      <c r="Q18" s="521">
        <f>'17 R1 INV COMP'!O29</f>
        <v>0</v>
      </c>
      <c r="R18" s="521">
        <f>'17 R1 INV COMP'!P29</f>
        <v>0</v>
      </c>
      <c r="S18" s="521">
        <f>'17 R1 INV COMP'!Q29</f>
        <v>0</v>
      </c>
      <c r="T18" s="521">
        <f>'17 R1 INV COMP'!R29</f>
        <v>0</v>
      </c>
      <c r="U18" s="521">
        <f>'17 R1 INV COMP'!S29</f>
        <v>0</v>
      </c>
      <c r="V18" s="521">
        <f>'17 R1 INV COMP'!T29</f>
        <v>0</v>
      </c>
      <c r="W18" s="521">
        <f>'17 R1 INV COMP'!U29</f>
        <v>0</v>
      </c>
      <c r="X18" s="521">
        <f>'17 R1 INV COMP'!V29</f>
        <v>0</v>
      </c>
      <c r="Y18" s="521">
        <f>'17 R1 INV COMP'!W29</f>
        <v>0</v>
      </c>
      <c r="Z18" s="521">
        <f>'17 R1 INV COMP'!X29</f>
        <v>0</v>
      </c>
      <c r="AA18" s="521">
        <f>'17 R1 INV COMP'!Y29</f>
        <v>0</v>
      </c>
      <c r="AB18" s="521">
        <f>'17 R1 INV COMP'!Z29</f>
        <v>0</v>
      </c>
      <c r="AC18" s="521">
        <f>'17 R1 INV COMP'!AA29</f>
        <v>0</v>
      </c>
      <c r="AD18" s="521">
        <f>'17 R1 INV COMP'!AB29</f>
        <v>0</v>
      </c>
      <c r="AE18" s="521">
        <f>'17 R1 INV COMP'!AC29</f>
        <v>0</v>
      </c>
      <c r="AF18" s="521">
        <f>'17 R1 INV COMP'!AD29</f>
        <v>0</v>
      </c>
      <c r="AG18" s="521">
        <f>'17 R1 INV COMP'!AE29</f>
        <v>0</v>
      </c>
      <c r="AH18" s="521">
        <f>'17 R1 INV COMP'!AF29</f>
        <v>0</v>
      </c>
      <c r="AI18" s="521">
        <f>'17 R1 INV COMP'!AG29</f>
        <v>0</v>
      </c>
      <c r="AJ18" s="521">
        <f>'17 R1 INV COMP'!AH29</f>
        <v>0</v>
      </c>
      <c r="AK18" s="521">
        <f>'17 R1 INV COMP'!AI29</f>
        <v>0</v>
      </c>
      <c r="AL18" s="521">
        <f>'17 R1 INV COMP'!AJ29</f>
        <v>0</v>
      </c>
      <c r="AM18" s="487"/>
      <c r="AN18" s="486">
        <f t="shared" si="0"/>
        <v>0</v>
      </c>
      <c r="AO18" s="487"/>
      <c r="AP18" s="487"/>
      <c r="AQ18" s="487"/>
      <c r="AR18" s="487"/>
      <c r="AS18" s="485"/>
      <c r="AT18" s="485"/>
      <c r="AU18" s="485"/>
      <c r="AV18" s="485"/>
      <c r="AW18" s="173"/>
      <c r="AX18" s="173"/>
      <c r="AY18" s="173"/>
      <c r="AZ18" s="173"/>
      <c r="BA18" s="173"/>
      <c r="BB18" s="173"/>
      <c r="BC18" s="173"/>
      <c r="BD18" s="173"/>
      <c r="BE18" s="173"/>
      <c r="BF18" s="173"/>
      <c r="BG18" s="173"/>
      <c r="BH18" s="173"/>
      <c r="BI18" s="173"/>
      <c r="BJ18" s="173"/>
      <c r="BK18" s="173"/>
      <c r="BL18" s="173"/>
      <c r="BM18" s="173"/>
      <c r="BN18" s="173"/>
      <c r="BO18" s="173"/>
      <c r="BP18" s="173"/>
      <c r="BQ18" s="173"/>
      <c r="BR18" s="173"/>
      <c r="BS18" s="173"/>
      <c r="BT18" s="173"/>
      <c r="BU18" s="173"/>
      <c r="BV18" s="173"/>
      <c r="BW18" s="173"/>
      <c r="BX18" s="173"/>
      <c r="BY18" s="173"/>
      <c r="BZ18" s="173"/>
      <c r="CA18" s="173"/>
      <c r="CB18" s="173"/>
      <c r="CC18" s="173"/>
      <c r="CD18" s="173"/>
      <c r="CE18" s="173"/>
      <c r="CF18" s="173"/>
      <c r="CG18" s="173"/>
      <c r="CH18" s="173"/>
      <c r="CI18" s="173"/>
    </row>
    <row r="19" spans="1:87">
      <c r="B19" s="185"/>
      <c r="C19" s="258" t="s">
        <v>443</v>
      </c>
      <c r="D19" s="259">
        <v>7</v>
      </c>
      <c r="E19" s="260" t="s">
        <v>142</v>
      </c>
      <c r="F19" s="507">
        <v>4087.9984903898612</v>
      </c>
      <c r="G19" s="499">
        <f>'17 R1 INV COMP'!F31</f>
        <v>28615.989432729028</v>
      </c>
      <c r="H19" s="499" t="e">
        <f>'17 R1 INV COMP'!#REF!</f>
        <v>#REF!</v>
      </c>
      <c r="I19" s="499">
        <f>'17 R1 INV COMP'!G31</f>
        <v>0</v>
      </c>
      <c r="J19" s="499">
        <f>'17 R1 INV COMP'!H31</f>
        <v>0</v>
      </c>
      <c r="K19" s="499">
        <f>'17 R1 INV COMP'!I31</f>
        <v>0</v>
      </c>
      <c r="L19" s="499">
        <f>'17 R1 INV COMP'!J31</f>
        <v>28615.989432729028</v>
      </c>
      <c r="M19" s="499">
        <f>'17 R1 INV COMP'!K31</f>
        <v>0</v>
      </c>
      <c r="N19" s="499">
        <f>'17 R1 INV COMP'!L31</f>
        <v>0</v>
      </c>
      <c r="O19" s="499">
        <f>'17 R1 INV COMP'!M31</f>
        <v>0</v>
      </c>
      <c r="P19" s="499">
        <f>'17 R1 INV COMP'!N31</f>
        <v>0</v>
      </c>
      <c r="Q19" s="499">
        <f>'17 R1 INV COMP'!O31</f>
        <v>0</v>
      </c>
      <c r="R19" s="499">
        <f>'17 R1 INV COMP'!P31</f>
        <v>0</v>
      </c>
      <c r="S19" s="499">
        <f>'17 R1 INV COMP'!Q31</f>
        <v>0</v>
      </c>
      <c r="T19" s="499">
        <f>'17 R1 INV COMP'!R31</f>
        <v>0</v>
      </c>
      <c r="U19" s="499">
        <f>'17 R1 INV COMP'!S31</f>
        <v>0</v>
      </c>
      <c r="V19" s="499">
        <f>'17 R1 INV COMP'!T31</f>
        <v>0</v>
      </c>
      <c r="W19" s="499">
        <f>'17 R1 INV COMP'!U31</f>
        <v>0</v>
      </c>
      <c r="X19" s="499">
        <f>'17 R1 INV COMP'!V31</f>
        <v>0</v>
      </c>
      <c r="Y19" s="499">
        <f>'17 R1 INV COMP'!W31</f>
        <v>0</v>
      </c>
      <c r="Z19" s="499">
        <f>'17 R1 INV COMP'!X31</f>
        <v>0</v>
      </c>
      <c r="AA19" s="499">
        <f>'17 R1 INV COMP'!Y31</f>
        <v>0</v>
      </c>
      <c r="AB19" s="499">
        <f>'17 R1 INV COMP'!Z31</f>
        <v>0</v>
      </c>
      <c r="AC19" s="499">
        <f>'17 R1 INV COMP'!AA31</f>
        <v>0</v>
      </c>
      <c r="AD19" s="499">
        <f>'17 R1 INV COMP'!AB31</f>
        <v>0</v>
      </c>
      <c r="AE19" s="499">
        <f>'17 R1 INV COMP'!AC31</f>
        <v>0</v>
      </c>
      <c r="AF19" s="499">
        <f>'17 R1 INV COMP'!AD31</f>
        <v>0</v>
      </c>
      <c r="AG19" s="499">
        <f>'17 R1 INV COMP'!AE31</f>
        <v>0</v>
      </c>
      <c r="AH19" s="499">
        <f>'17 R1 INV COMP'!AF31</f>
        <v>0</v>
      </c>
      <c r="AI19" s="499">
        <f>'17 R1 INV COMP'!AG31</f>
        <v>0</v>
      </c>
      <c r="AJ19" s="499">
        <f>'17 R1 INV COMP'!AH31</f>
        <v>0</v>
      </c>
      <c r="AK19" s="499">
        <f>'17 R1 INV COMP'!AI31</f>
        <v>0</v>
      </c>
      <c r="AL19" s="499">
        <f>'17 R1 INV COMP'!AJ31</f>
        <v>0</v>
      </c>
      <c r="AM19" s="483"/>
      <c r="AN19" s="486">
        <f t="shared" si="0"/>
        <v>0</v>
      </c>
      <c r="AO19" s="483"/>
      <c r="AP19" s="483"/>
      <c r="AQ19" s="483"/>
      <c r="AR19" s="483"/>
      <c r="AS19" s="484"/>
      <c r="AT19" s="484"/>
      <c r="AU19" s="484"/>
      <c r="AV19" s="484"/>
    </row>
    <row r="20" spans="1:87" ht="13.5" thickBot="1">
      <c r="B20" s="192"/>
      <c r="C20" s="261" t="s">
        <v>444</v>
      </c>
      <c r="D20" s="262">
        <v>1</v>
      </c>
      <c r="E20" s="263" t="s">
        <v>249</v>
      </c>
      <c r="F20" s="789">
        <f>SUM(I20:AL20)</f>
        <v>557906.70925311232</v>
      </c>
      <c r="G20" s="502">
        <f>'17 R1 INV COMP'!F33</f>
        <v>557906.70925311232</v>
      </c>
      <c r="H20" s="502" t="e">
        <f>'17 R1 INV COMP'!#REF!</f>
        <v>#REF!</v>
      </c>
      <c r="I20" s="502">
        <f>'17 R1 INV COMP'!G33</f>
        <v>0</v>
      </c>
      <c r="J20" s="502">
        <f>'17 R1 INV COMP'!H33</f>
        <v>195290.85643359539</v>
      </c>
      <c r="K20" s="502">
        <f>'17 R1 INV COMP'!I33</f>
        <v>0</v>
      </c>
      <c r="L20" s="502">
        <f>'17 R1 INV COMP'!J33</f>
        <v>362615.85281951696</v>
      </c>
      <c r="M20" s="502">
        <f>'17 R1 INV COMP'!K33</f>
        <v>0</v>
      </c>
      <c r="N20" s="502">
        <f>'17 R1 INV COMP'!L33</f>
        <v>0</v>
      </c>
      <c r="O20" s="502">
        <f>'17 R1 INV COMP'!M33</f>
        <v>0</v>
      </c>
      <c r="P20" s="502">
        <f>'17 R1 INV COMP'!N33</f>
        <v>0</v>
      </c>
      <c r="Q20" s="502">
        <f>'17 R1 INV COMP'!O33</f>
        <v>0</v>
      </c>
      <c r="R20" s="502">
        <f>'17 R1 INV COMP'!P33</f>
        <v>0</v>
      </c>
      <c r="S20" s="502">
        <f>'17 R1 INV COMP'!Q33</f>
        <v>0</v>
      </c>
      <c r="T20" s="502">
        <f>'17 R1 INV COMP'!R33</f>
        <v>0</v>
      </c>
      <c r="U20" s="502">
        <f>'17 R1 INV COMP'!S33</f>
        <v>0</v>
      </c>
      <c r="V20" s="502">
        <f>'17 R1 INV COMP'!T33</f>
        <v>0</v>
      </c>
      <c r="W20" s="502">
        <f>'17 R1 INV COMP'!U33</f>
        <v>0</v>
      </c>
      <c r="X20" s="502">
        <f>'17 R1 INV COMP'!V33</f>
        <v>0</v>
      </c>
      <c r="Y20" s="502">
        <f>'17 R1 INV COMP'!W33</f>
        <v>0</v>
      </c>
      <c r="Z20" s="502">
        <f>'17 R1 INV COMP'!X33</f>
        <v>0</v>
      </c>
      <c r="AA20" s="502">
        <f>'17 R1 INV COMP'!Y33</f>
        <v>0</v>
      </c>
      <c r="AB20" s="502">
        <f>'17 R1 INV COMP'!Z33</f>
        <v>0</v>
      </c>
      <c r="AC20" s="502">
        <f>'17 R1 INV COMP'!AA33</f>
        <v>0</v>
      </c>
      <c r="AD20" s="502">
        <f>'17 R1 INV COMP'!AB33</f>
        <v>0</v>
      </c>
      <c r="AE20" s="502">
        <f>'17 R1 INV COMP'!AC33</f>
        <v>0</v>
      </c>
      <c r="AF20" s="502">
        <f>'17 R1 INV COMP'!AD33</f>
        <v>0</v>
      </c>
      <c r="AG20" s="502">
        <f>'17 R1 INV COMP'!AE33</f>
        <v>0</v>
      </c>
      <c r="AH20" s="502">
        <f>'17 R1 INV COMP'!AF33</f>
        <v>0</v>
      </c>
      <c r="AI20" s="502">
        <f>'17 R1 INV COMP'!AG33</f>
        <v>0</v>
      </c>
      <c r="AJ20" s="502">
        <f>'17 R1 INV COMP'!AH33</f>
        <v>0</v>
      </c>
      <c r="AK20" s="502">
        <f>'17 R1 INV COMP'!AI33</f>
        <v>0</v>
      </c>
      <c r="AL20" s="502">
        <f>'17 R1 INV COMP'!AJ33</f>
        <v>0</v>
      </c>
      <c r="AM20" s="483"/>
      <c r="AN20" s="486">
        <f t="shared" si="0"/>
        <v>0</v>
      </c>
      <c r="AO20" s="483"/>
      <c r="AP20" s="483"/>
      <c r="AQ20" s="483"/>
      <c r="AR20" s="483"/>
      <c r="AS20" s="484"/>
      <c r="AT20" s="484"/>
      <c r="AU20" s="484"/>
      <c r="AV20" s="484"/>
    </row>
    <row r="21" spans="1:87" ht="13.5" thickBot="1">
      <c r="E21" s="275"/>
      <c r="F21" s="508"/>
      <c r="G21" s="508"/>
      <c r="I21" s="571"/>
      <c r="J21" s="571"/>
      <c r="K21" s="571"/>
      <c r="L21" s="571"/>
      <c r="M21" s="571"/>
      <c r="N21" s="571"/>
      <c r="O21" s="571"/>
      <c r="P21" s="571"/>
      <c r="Q21" s="571"/>
      <c r="R21" s="571"/>
      <c r="S21" s="571"/>
      <c r="T21" s="571"/>
      <c r="U21" s="571"/>
      <c r="V21" s="571"/>
      <c r="W21" s="571"/>
      <c r="X21" s="571"/>
      <c r="Y21" s="571"/>
      <c r="Z21" s="571"/>
      <c r="AA21" s="571"/>
      <c r="AB21" s="571"/>
      <c r="AC21" s="571"/>
      <c r="AD21" s="571"/>
      <c r="AE21" s="571"/>
      <c r="AF21" s="571"/>
      <c r="AG21" s="571"/>
      <c r="AH21" s="571"/>
      <c r="AI21" s="571"/>
      <c r="AJ21" s="571"/>
      <c r="AK21" s="571"/>
      <c r="AL21" s="571"/>
      <c r="AM21" s="483"/>
      <c r="AN21" s="486"/>
      <c r="AO21" s="483"/>
      <c r="AP21" s="483"/>
      <c r="AQ21" s="483"/>
      <c r="AR21" s="483"/>
      <c r="AS21" s="484"/>
      <c r="AT21" s="484"/>
      <c r="AU21" s="484"/>
      <c r="AV21" s="484"/>
    </row>
    <row r="22" spans="1:87" ht="13.5" thickBot="1">
      <c r="A22" s="882"/>
      <c r="B22" s="783" t="s">
        <v>152</v>
      </c>
      <c r="C22" s="790" t="s">
        <v>153</v>
      </c>
      <c r="D22" s="791"/>
      <c r="E22" s="462"/>
      <c r="F22" s="785"/>
      <c r="G22" s="521">
        <f>'17 R1 INV COMP'!F36</f>
        <v>1091223.70474638</v>
      </c>
      <c r="H22" s="521" t="e">
        <f>'17 R1 INV COMP'!#REF!</f>
        <v>#REF!</v>
      </c>
      <c r="I22" s="521">
        <f>'17 R1 INV COMP'!G36</f>
        <v>116954.72850141811</v>
      </c>
      <c r="J22" s="521">
        <f>'17 R1 INV COMP'!H36</f>
        <v>15284.203558129915</v>
      </c>
      <c r="K22" s="521">
        <f>'17 R1 INV COMP'!I36</f>
        <v>66314.391440752952</v>
      </c>
      <c r="L22" s="521">
        <f>'17 R1 INV COMP'!J36</f>
        <v>33061.865972076979</v>
      </c>
      <c r="M22" s="521">
        <f>'17 R1 INV COMP'!K36</f>
        <v>33061.865972076979</v>
      </c>
      <c r="N22" s="521">
        <f>'17 R1 INV COMP'!L36</f>
        <v>33061.865972076979</v>
      </c>
      <c r="O22" s="521">
        <f>'17 R1 INV COMP'!M36</f>
        <v>33061.865972076979</v>
      </c>
      <c r="P22" s="521">
        <f>'17 R1 INV COMP'!N36</f>
        <v>33061.865972076979</v>
      </c>
      <c r="Q22" s="521">
        <f>'17 R1 INV COMP'!O36</f>
        <v>33061.865972076979</v>
      </c>
      <c r="R22" s="521">
        <f>'17 R1 INV COMP'!P36</f>
        <v>33061.865972076979</v>
      </c>
      <c r="S22" s="521">
        <f>'17 R1 INV COMP'!Q36</f>
        <v>33061.865972076979</v>
      </c>
      <c r="T22" s="521">
        <f>'17 R1 INV COMP'!R36</f>
        <v>33061.865972076979</v>
      </c>
      <c r="U22" s="521">
        <f>'17 R1 INV COMP'!S36</f>
        <v>33061.865972076979</v>
      </c>
      <c r="V22" s="521">
        <f>'17 R1 INV COMP'!T36</f>
        <v>33061.865972076979</v>
      </c>
      <c r="W22" s="521">
        <f>'17 R1 INV COMP'!U36</f>
        <v>33061.865972076979</v>
      </c>
      <c r="X22" s="521">
        <f>'17 R1 INV COMP'!V36</f>
        <v>33061.865972076979</v>
      </c>
      <c r="Y22" s="521">
        <f>'17 R1 INV COMP'!W36</f>
        <v>33061.865972076979</v>
      </c>
      <c r="Z22" s="521">
        <f>'17 R1 INV COMP'!X36</f>
        <v>33061.865972076979</v>
      </c>
      <c r="AA22" s="521">
        <f>'17 R1 INV COMP'!Y36</f>
        <v>33061.865972076979</v>
      </c>
      <c r="AB22" s="521">
        <f>'17 R1 INV COMP'!Z36</f>
        <v>33061.865972076979</v>
      </c>
      <c r="AC22" s="521">
        <f>'17 R1 INV COMP'!AA36</f>
        <v>33061.865972076979</v>
      </c>
      <c r="AD22" s="521">
        <f>'17 R1 INV COMP'!AB36</f>
        <v>33061.865972076979</v>
      </c>
      <c r="AE22" s="521">
        <f>'17 R1 INV COMP'!AC36</f>
        <v>33061.865972076979</v>
      </c>
      <c r="AF22" s="521">
        <f>'17 R1 INV COMP'!AD36</f>
        <v>33061.865972076979</v>
      </c>
      <c r="AG22" s="521">
        <f>'17 R1 INV COMP'!AE36</f>
        <v>33061.865972076979</v>
      </c>
      <c r="AH22" s="521">
        <f>'17 R1 INV COMP'!AF36</f>
        <v>33061.865972076979</v>
      </c>
      <c r="AI22" s="521">
        <f>'17 R1 INV COMP'!AG36</f>
        <v>33061.865972076979</v>
      </c>
      <c r="AJ22" s="521">
        <f>'17 R1 INV COMP'!AH36</f>
        <v>33061.865972076979</v>
      </c>
      <c r="AK22" s="521">
        <f>'17 R1 INV COMP'!AI36</f>
        <v>33061.865972076979</v>
      </c>
      <c r="AL22" s="521">
        <f>'17 R1 INV COMP'!AJ36</f>
        <v>33061.865972076979</v>
      </c>
      <c r="AM22" s="487"/>
      <c r="AN22" s="486">
        <f t="shared" si="0"/>
        <v>0</v>
      </c>
      <c r="AO22" s="487"/>
      <c r="AP22" s="487"/>
      <c r="AQ22" s="487"/>
      <c r="AR22" s="487"/>
      <c r="AS22" s="485"/>
      <c r="AT22" s="485"/>
      <c r="AU22" s="485"/>
      <c r="AV22" s="485"/>
      <c r="AW22" s="173"/>
      <c r="AX22" s="173"/>
      <c r="AY22" s="173"/>
      <c r="AZ22" s="173"/>
      <c r="BA22" s="173"/>
      <c r="BB22" s="173"/>
      <c r="BC22" s="173"/>
      <c r="BD22" s="173"/>
      <c r="BE22" s="173"/>
      <c r="BF22" s="173"/>
      <c r="BG22" s="173"/>
      <c r="BH22" s="173"/>
      <c r="BI22" s="173"/>
      <c r="BJ22" s="173"/>
      <c r="BK22" s="173"/>
      <c r="BL22" s="173"/>
      <c r="BM22" s="173"/>
      <c r="BN22" s="173"/>
      <c r="BO22" s="173"/>
      <c r="BP22" s="173"/>
      <c r="BQ22" s="173"/>
      <c r="BR22" s="173"/>
      <c r="BS22" s="173"/>
      <c r="BT22" s="173"/>
      <c r="BU22" s="173"/>
      <c r="BV22" s="173"/>
      <c r="BW22" s="173"/>
      <c r="BX22" s="173"/>
      <c r="BY22" s="173"/>
      <c r="BZ22" s="173"/>
      <c r="CA22" s="173"/>
      <c r="CB22" s="173"/>
      <c r="CC22" s="173"/>
      <c r="CD22" s="173"/>
      <c r="CE22" s="173"/>
      <c r="CF22" s="173"/>
      <c r="CG22" s="173"/>
      <c r="CH22" s="173"/>
      <c r="CI22" s="173"/>
    </row>
    <row r="23" spans="1:87">
      <c r="B23" s="184"/>
      <c r="C23" s="264" t="s">
        <v>446</v>
      </c>
      <c r="D23" s="250">
        <v>1</v>
      </c>
      <c r="E23" s="251" t="s">
        <v>249</v>
      </c>
      <c r="F23" s="503">
        <f>I23+J23+K23</f>
        <v>131411.84610779874</v>
      </c>
      <c r="G23" s="499">
        <f>'17 R1 INV COMP'!F38</f>
        <v>131411.84610779874</v>
      </c>
      <c r="H23" s="499" t="e">
        <f>'17 R1 INV COMP'!#REF!</f>
        <v>#REF!</v>
      </c>
      <c r="I23" s="499">
        <f>'17 R1 INV COMP'!G38</f>
        <v>91059.039862837541</v>
      </c>
      <c r="J23" s="499">
        <f>'17 R1 INV COMP'!H38</f>
        <v>15284.203558129915</v>
      </c>
      <c r="K23" s="499">
        <f>'17 R1 INV COMP'!I38</f>
        <v>25068.602686831306</v>
      </c>
      <c r="L23" s="499">
        <f>'17 R1 INV COMP'!J38</f>
        <v>0</v>
      </c>
      <c r="M23" s="499">
        <f>'17 R1 INV COMP'!K38</f>
        <v>0</v>
      </c>
      <c r="N23" s="499">
        <f>'17 R1 INV COMP'!L38</f>
        <v>0</v>
      </c>
      <c r="O23" s="499">
        <f>'17 R1 INV COMP'!M38</f>
        <v>0</v>
      </c>
      <c r="P23" s="499">
        <f>'17 R1 INV COMP'!N38</f>
        <v>0</v>
      </c>
      <c r="Q23" s="499">
        <f>'17 R1 INV COMP'!O38</f>
        <v>0</v>
      </c>
      <c r="R23" s="499">
        <f>'17 R1 INV COMP'!P38</f>
        <v>0</v>
      </c>
      <c r="S23" s="499">
        <f>'17 R1 INV COMP'!Q38</f>
        <v>0</v>
      </c>
      <c r="T23" s="499">
        <f>'17 R1 INV COMP'!R38</f>
        <v>0</v>
      </c>
      <c r="U23" s="499">
        <f>'17 R1 INV COMP'!S38</f>
        <v>0</v>
      </c>
      <c r="V23" s="499">
        <f>'17 R1 INV COMP'!T38</f>
        <v>0</v>
      </c>
      <c r="W23" s="499">
        <f>'17 R1 INV COMP'!U38</f>
        <v>0</v>
      </c>
      <c r="X23" s="499">
        <f>'17 R1 INV COMP'!V38</f>
        <v>0</v>
      </c>
      <c r="Y23" s="499">
        <f>'17 R1 INV COMP'!W38</f>
        <v>0</v>
      </c>
      <c r="Z23" s="499">
        <f>'17 R1 INV COMP'!X38</f>
        <v>0</v>
      </c>
      <c r="AA23" s="499">
        <f>'17 R1 INV COMP'!Y38</f>
        <v>0</v>
      </c>
      <c r="AB23" s="499">
        <f>'17 R1 INV COMP'!Z38</f>
        <v>0</v>
      </c>
      <c r="AC23" s="499">
        <f>'17 R1 INV COMP'!AA38</f>
        <v>0</v>
      </c>
      <c r="AD23" s="499">
        <f>'17 R1 INV COMP'!AB38</f>
        <v>0</v>
      </c>
      <c r="AE23" s="499">
        <f>'17 R1 INV COMP'!AC38</f>
        <v>0</v>
      </c>
      <c r="AF23" s="499">
        <f>'17 R1 INV COMP'!AD38</f>
        <v>0</v>
      </c>
      <c r="AG23" s="499">
        <f>'17 R1 INV COMP'!AE38</f>
        <v>0</v>
      </c>
      <c r="AH23" s="499">
        <f>'17 R1 INV COMP'!AF38</f>
        <v>0</v>
      </c>
      <c r="AI23" s="499">
        <f>'17 R1 INV COMP'!AG38</f>
        <v>0</v>
      </c>
      <c r="AJ23" s="499">
        <f>'17 R1 INV COMP'!AH38</f>
        <v>0</v>
      </c>
      <c r="AK23" s="499">
        <f>'17 R1 INV COMP'!AI38</f>
        <v>0</v>
      </c>
      <c r="AL23" s="499">
        <f>'17 R1 INV COMP'!AJ38</f>
        <v>0</v>
      </c>
      <c r="AM23" s="483"/>
      <c r="AN23" s="486">
        <f t="shared" si="0"/>
        <v>0</v>
      </c>
      <c r="AO23" s="483"/>
      <c r="AP23" s="483"/>
      <c r="AQ23" s="483"/>
      <c r="AR23" s="483"/>
      <c r="AS23" s="484"/>
      <c r="AT23" s="484"/>
      <c r="AU23" s="484"/>
      <c r="AV23" s="484"/>
    </row>
    <row r="24" spans="1:87">
      <c r="B24" s="185"/>
      <c r="C24" s="265" t="s">
        <v>252</v>
      </c>
      <c r="D24" s="252">
        <f>I24/F24</f>
        <v>231.00525101320758</v>
      </c>
      <c r="E24" s="253" t="s">
        <v>142</v>
      </c>
      <c r="F24" s="504">
        <v>112.1</v>
      </c>
      <c r="G24" s="499">
        <f>'17 R1 INV COMP'!F40</f>
        <v>25895.68863858057</v>
      </c>
      <c r="H24" s="499" t="e">
        <f>'17 R1 INV COMP'!#REF!</f>
        <v>#REF!</v>
      </c>
      <c r="I24" s="499">
        <f>'17 R1 INV COMP'!G40</f>
        <v>25895.68863858057</v>
      </c>
      <c r="J24" s="499">
        <f>'17 R1 INV COMP'!H40</f>
        <v>0</v>
      </c>
      <c r="K24" s="499">
        <f>'17 R1 INV COMP'!I40</f>
        <v>0</v>
      </c>
      <c r="L24" s="499">
        <f>'17 R1 INV COMP'!J40</f>
        <v>0</v>
      </c>
      <c r="M24" s="499">
        <f>'17 R1 INV COMP'!K40</f>
        <v>0</v>
      </c>
      <c r="N24" s="499">
        <f>'17 R1 INV COMP'!L40</f>
        <v>0</v>
      </c>
      <c r="O24" s="499">
        <f>'17 R1 INV COMP'!M40</f>
        <v>0</v>
      </c>
      <c r="P24" s="499">
        <f>'17 R1 INV COMP'!N40</f>
        <v>0</v>
      </c>
      <c r="Q24" s="499">
        <f>'17 R1 INV COMP'!O40</f>
        <v>0</v>
      </c>
      <c r="R24" s="499">
        <f>'17 R1 INV COMP'!P40</f>
        <v>0</v>
      </c>
      <c r="S24" s="499">
        <f>'17 R1 INV COMP'!Q40</f>
        <v>0</v>
      </c>
      <c r="T24" s="499">
        <f>'17 R1 INV COMP'!R40</f>
        <v>0</v>
      </c>
      <c r="U24" s="499">
        <f>'17 R1 INV COMP'!S40</f>
        <v>0</v>
      </c>
      <c r="V24" s="499">
        <f>'17 R1 INV COMP'!T40</f>
        <v>0</v>
      </c>
      <c r="W24" s="499">
        <f>'17 R1 INV COMP'!U40</f>
        <v>0</v>
      </c>
      <c r="X24" s="499">
        <f>'17 R1 INV COMP'!V40</f>
        <v>0</v>
      </c>
      <c r="Y24" s="499">
        <f>'17 R1 INV COMP'!W40</f>
        <v>0</v>
      </c>
      <c r="Z24" s="499">
        <f>'17 R1 INV COMP'!X40</f>
        <v>0</v>
      </c>
      <c r="AA24" s="499">
        <f>'17 R1 INV COMP'!Y40</f>
        <v>0</v>
      </c>
      <c r="AB24" s="499">
        <f>'17 R1 INV COMP'!Z40</f>
        <v>0</v>
      </c>
      <c r="AC24" s="499">
        <f>'17 R1 INV COMP'!AA40</f>
        <v>0</v>
      </c>
      <c r="AD24" s="499">
        <f>'17 R1 INV COMP'!AB40</f>
        <v>0</v>
      </c>
      <c r="AE24" s="499">
        <f>'17 R1 INV COMP'!AC40</f>
        <v>0</v>
      </c>
      <c r="AF24" s="499">
        <f>'17 R1 INV COMP'!AD40</f>
        <v>0</v>
      </c>
      <c r="AG24" s="499">
        <f>'17 R1 INV COMP'!AE40</f>
        <v>0</v>
      </c>
      <c r="AH24" s="499">
        <f>'17 R1 INV COMP'!AF40</f>
        <v>0</v>
      </c>
      <c r="AI24" s="499">
        <f>'17 R1 INV COMP'!AG40</f>
        <v>0</v>
      </c>
      <c r="AJ24" s="499">
        <f>'17 R1 INV COMP'!AH40</f>
        <v>0</v>
      </c>
      <c r="AK24" s="499">
        <f>'17 R1 INV COMP'!AI40</f>
        <v>0</v>
      </c>
      <c r="AL24" s="499">
        <f>'17 R1 INV COMP'!AJ40</f>
        <v>0</v>
      </c>
      <c r="AM24" s="483"/>
      <c r="AN24" s="486">
        <f t="shared" si="0"/>
        <v>0</v>
      </c>
      <c r="AO24" s="483"/>
      <c r="AP24" s="483"/>
      <c r="AQ24" s="483"/>
      <c r="AR24" s="483"/>
      <c r="AS24" s="484"/>
      <c r="AT24" s="484"/>
      <c r="AU24" s="484"/>
      <c r="AV24" s="484"/>
    </row>
    <row r="25" spans="1:87" ht="13.5" thickBot="1">
      <c r="B25" s="192"/>
      <c r="C25" s="266" t="s">
        <v>253</v>
      </c>
      <c r="D25" s="188">
        <v>1</v>
      </c>
      <c r="E25" s="254" t="s">
        <v>249</v>
      </c>
      <c r="F25" s="505">
        <v>933916.17</v>
      </c>
      <c r="G25" s="500">
        <f>'17 R1 INV COMP'!F42</f>
        <v>933916.17000000062</v>
      </c>
      <c r="H25" s="500" t="e">
        <f>'17 R1 INV COMP'!#REF!</f>
        <v>#REF!</v>
      </c>
      <c r="I25" s="500">
        <f>'17 R1 INV COMP'!G42</f>
        <v>0</v>
      </c>
      <c r="J25" s="500">
        <f>'17 R1 INV COMP'!H42</f>
        <v>0</v>
      </c>
      <c r="K25" s="500">
        <f>'17 R1 INV COMP'!I42</f>
        <v>41245.788753921646</v>
      </c>
      <c r="L25" s="500">
        <f>'17 R1 INV COMP'!J42</f>
        <v>33061.865972076979</v>
      </c>
      <c r="M25" s="500">
        <f>'17 R1 INV COMP'!K42</f>
        <v>33061.865972076979</v>
      </c>
      <c r="N25" s="500">
        <f>'17 R1 INV COMP'!L42</f>
        <v>33061.865972076979</v>
      </c>
      <c r="O25" s="500">
        <f>'17 R1 INV COMP'!M42</f>
        <v>33061.865972076979</v>
      </c>
      <c r="P25" s="500">
        <f>'17 R1 INV COMP'!N42</f>
        <v>33061.865972076979</v>
      </c>
      <c r="Q25" s="500">
        <f>'17 R1 INV COMP'!O42</f>
        <v>33061.865972076979</v>
      </c>
      <c r="R25" s="500">
        <f>'17 R1 INV COMP'!P42</f>
        <v>33061.865972076979</v>
      </c>
      <c r="S25" s="500">
        <f>'17 R1 INV COMP'!Q42</f>
        <v>33061.865972076979</v>
      </c>
      <c r="T25" s="500">
        <f>'17 R1 INV COMP'!R42</f>
        <v>33061.865972076979</v>
      </c>
      <c r="U25" s="500">
        <f>'17 R1 INV COMP'!S42</f>
        <v>33061.865972076979</v>
      </c>
      <c r="V25" s="500">
        <f>'17 R1 INV COMP'!T42</f>
        <v>33061.865972076979</v>
      </c>
      <c r="W25" s="500">
        <f>'17 R1 INV COMP'!U42</f>
        <v>33061.865972076979</v>
      </c>
      <c r="X25" s="500">
        <f>'17 R1 INV COMP'!V42</f>
        <v>33061.865972076979</v>
      </c>
      <c r="Y25" s="500">
        <f>'17 R1 INV COMP'!W42</f>
        <v>33061.865972076979</v>
      </c>
      <c r="Z25" s="500">
        <f>'17 R1 INV COMP'!X42</f>
        <v>33061.865972076979</v>
      </c>
      <c r="AA25" s="500">
        <f>'17 R1 INV COMP'!Y42</f>
        <v>33061.865972076979</v>
      </c>
      <c r="AB25" s="500">
        <f>'17 R1 INV COMP'!Z42</f>
        <v>33061.865972076979</v>
      </c>
      <c r="AC25" s="500">
        <f>'17 R1 INV COMP'!AA42</f>
        <v>33061.865972076979</v>
      </c>
      <c r="AD25" s="500">
        <f>'17 R1 INV COMP'!AB42</f>
        <v>33061.865972076979</v>
      </c>
      <c r="AE25" s="500">
        <f>'17 R1 INV COMP'!AC42</f>
        <v>33061.865972076979</v>
      </c>
      <c r="AF25" s="500">
        <f>'17 R1 INV COMP'!AD42</f>
        <v>33061.865972076979</v>
      </c>
      <c r="AG25" s="500">
        <f>'17 R1 INV COMP'!AE42</f>
        <v>33061.865972076979</v>
      </c>
      <c r="AH25" s="500">
        <f>'17 R1 INV COMP'!AF42</f>
        <v>33061.865972076979</v>
      </c>
      <c r="AI25" s="500">
        <f>'17 R1 INV COMP'!AG42</f>
        <v>33061.865972076979</v>
      </c>
      <c r="AJ25" s="500">
        <f>'17 R1 INV COMP'!AH42</f>
        <v>33061.865972076979</v>
      </c>
      <c r="AK25" s="500">
        <f>'17 R1 INV COMP'!AI42</f>
        <v>33061.865972076979</v>
      </c>
      <c r="AL25" s="500">
        <f>'17 R1 INV COMP'!AJ42</f>
        <v>33061.865972076979</v>
      </c>
      <c r="AM25" s="483"/>
      <c r="AN25" s="486">
        <f t="shared" si="0"/>
        <v>0</v>
      </c>
      <c r="AO25" s="483"/>
      <c r="AP25" s="483"/>
      <c r="AQ25" s="483"/>
      <c r="AR25" s="483"/>
      <c r="AS25" s="484"/>
      <c r="AT25" s="484"/>
      <c r="AU25" s="484"/>
      <c r="AV25" s="484"/>
    </row>
    <row r="26" spans="1:87" ht="13.5" thickBot="1">
      <c r="E26" s="275"/>
      <c r="F26" s="508"/>
      <c r="G26" s="508"/>
      <c r="H26" s="508"/>
      <c r="I26" s="508"/>
      <c r="J26" s="508"/>
      <c r="K26" s="508"/>
      <c r="L26" s="508"/>
      <c r="M26" s="508"/>
      <c r="N26" s="508"/>
      <c r="O26" s="508"/>
      <c r="P26" s="508"/>
      <c r="Q26" s="508"/>
      <c r="R26" s="508"/>
      <c r="S26" s="508"/>
      <c r="T26" s="508"/>
      <c r="U26" s="508"/>
      <c r="V26" s="508"/>
      <c r="W26" s="508"/>
      <c r="X26" s="508"/>
      <c r="Y26" s="508"/>
      <c r="Z26" s="508"/>
      <c r="AA26" s="508"/>
      <c r="AB26" s="508"/>
      <c r="AC26" s="508"/>
      <c r="AD26" s="508"/>
      <c r="AE26" s="508"/>
      <c r="AF26" s="508"/>
      <c r="AG26" s="508"/>
      <c r="AH26" s="508"/>
      <c r="AI26" s="508"/>
      <c r="AJ26" s="508"/>
      <c r="AK26" s="508"/>
      <c r="AL26" s="508"/>
      <c r="AM26" s="484"/>
      <c r="AN26" s="486"/>
      <c r="AO26" s="484"/>
      <c r="AP26" s="484"/>
      <c r="AQ26" s="484"/>
      <c r="AR26" s="484"/>
      <c r="AS26" s="484"/>
      <c r="AT26" s="484"/>
      <c r="AU26" s="484"/>
      <c r="AV26" s="484"/>
    </row>
    <row r="27" spans="1:87" ht="13.5" thickBot="1">
      <c r="B27" s="357">
        <v>2</v>
      </c>
      <c r="C27" s="194" t="s">
        <v>391</v>
      </c>
      <c r="D27" s="180"/>
      <c r="E27" s="267"/>
      <c r="F27" s="509"/>
      <c r="G27" s="520">
        <f>'17 R1 INV COMP'!F45</f>
        <v>17427408.251717322</v>
      </c>
      <c r="H27" s="520" t="e">
        <f>'17 R1 INV COMP'!#REF!</f>
        <v>#REF!</v>
      </c>
      <c r="I27" s="520">
        <f>'17 R1 INV COMP'!G45</f>
        <v>60636.090870124302</v>
      </c>
      <c r="J27" s="520">
        <f>'17 R1 INV COMP'!H45</f>
        <v>25899.54489035995</v>
      </c>
      <c r="K27" s="520">
        <f>'17 R1 INV COMP'!I45</f>
        <v>37248.668650953259</v>
      </c>
      <c r="L27" s="520">
        <f>'17 R1 INV COMP'!J45</f>
        <v>418682</v>
      </c>
      <c r="M27" s="520">
        <f>'17 R1 INV COMP'!K45</f>
        <v>5170382.3714534501</v>
      </c>
      <c r="N27" s="520">
        <f>'17 R1 INV COMP'!L45</f>
        <v>688390.57756711624</v>
      </c>
      <c r="O27" s="520">
        <f>'17 R1 INV COMP'!M45</f>
        <v>1673597.7728142848</v>
      </c>
      <c r="P27" s="520">
        <f>'17 R1 INV COMP'!N45</f>
        <v>1152234.0717231876</v>
      </c>
      <c r="Q27" s="520">
        <f>'17 R1 INV COMP'!O45</f>
        <v>1884658.1650870387</v>
      </c>
      <c r="R27" s="520">
        <f>'17 R1 INV COMP'!P45</f>
        <v>960270.31680762395</v>
      </c>
      <c r="S27" s="520">
        <f>'17 R1 INV COMP'!Q45</f>
        <v>2613997.7258695289</v>
      </c>
      <c r="T27" s="520">
        <f>'17 R1 INV COMP'!R45</f>
        <v>2313502.4517390579</v>
      </c>
      <c r="U27" s="520">
        <f>'17 R1 INV COMP'!S45</f>
        <v>28879</v>
      </c>
      <c r="V27" s="520">
        <f>'17 R1 INV COMP'!T45</f>
        <v>28879</v>
      </c>
      <c r="W27" s="520">
        <f>'17 R1 INV COMP'!U45</f>
        <v>28879</v>
      </c>
      <c r="X27" s="520">
        <f>'17 R1 INV COMP'!V45</f>
        <v>23591</v>
      </c>
      <c r="Y27" s="520">
        <f>'17 R1 INV COMP'!W45</f>
        <v>23591</v>
      </c>
      <c r="Z27" s="520">
        <f>'17 R1 INV COMP'!X45</f>
        <v>23591</v>
      </c>
      <c r="AA27" s="520">
        <f>'17 R1 INV COMP'!Y45</f>
        <v>23591</v>
      </c>
      <c r="AB27" s="520">
        <f>'17 R1 INV COMP'!Z45</f>
        <v>23591</v>
      </c>
      <c r="AC27" s="520">
        <f>'17 R1 INV COMP'!AA45</f>
        <v>29286</v>
      </c>
      <c r="AD27" s="520">
        <f>'17 R1 INV COMP'!AB45</f>
        <v>19931</v>
      </c>
      <c r="AE27" s="520">
        <f>'17 R1 INV COMP'!AC45</f>
        <v>19931</v>
      </c>
      <c r="AF27" s="520">
        <f>'17 R1 INV COMP'!AD45</f>
        <v>19931</v>
      </c>
      <c r="AG27" s="520">
        <f>'17 R1 INV COMP'!AE45</f>
        <v>19931</v>
      </c>
      <c r="AH27" s="520">
        <f>'17 R1 INV COMP'!AF45</f>
        <v>29286</v>
      </c>
      <c r="AI27" s="520">
        <f>'17 R1 INV COMP'!AG45</f>
        <v>20745</v>
      </c>
      <c r="AJ27" s="520">
        <f>'17 R1 INV COMP'!AH45</f>
        <v>21559</v>
      </c>
      <c r="AK27" s="520">
        <f>'17 R1 INV COMP'!AI45</f>
        <v>22777</v>
      </c>
      <c r="AL27" s="520">
        <f>'17 R1 INV COMP'!AJ45</f>
        <v>19939.494244596346</v>
      </c>
      <c r="AM27" s="484"/>
      <c r="AN27" s="486">
        <f t="shared" si="0"/>
        <v>0</v>
      </c>
      <c r="AO27" s="484"/>
      <c r="AP27" s="484"/>
      <c r="AQ27" s="484"/>
      <c r="AR27" s="484"/>
      <c r="AS27" s="484"/>
      <c r="AT27" s="484"/>
      <c r="AU27" s="484"/>
      <c r="AV27" s="484"/>
    </row>
    <row r="28" spans="1:87" ht="13.5" thickBot="1">
      <c r="A28" s="882"/>
      <c r="B28" s="783" t="s">
        <v>154</v>
      </c>
      <c r="C28" s="460" t="s">
        <v>155</v>
      </c>
      <c r="D28" s="461"/>
      <c r="E28" s="462"/>
      <c r="F28" s="510"/>
      <c r="G28" s="521">
        <f>'17 R1 INV COMP'!F47</f>
        <v>1166714.721538302</v>
      </c>
      <c r="H28" s="521" t="e">
        <f>'17 R1 INV COMP'!#REF!</f>
        <v>#REF!</v>
      </c>
      <c r="I28" s="521">
        <f>'17 R1 INV COMP'!G47</f>
        <v>22756.965280754393</v>
      </c>
      <c r="J28" s="521">
        <f>'17 R1 INV COMP'!H47</f>
        <v>25327.596193628466</v>
      </c>
      <c r="K28" s="521">
        <f>'17 R1 INV COMP'!I47</f>
        <v>27827.865819322658</v>
      </c>
      <c r="L28" s="521">
        <f>'17 R1 INV COMP'!J47</f>
        <v>417866</v>
      </c>
      <c r="M28" s="521">
        <f>'17 R1 INV COMP'!K47</f>
        <v>416916.19</v>
      </c>
      <c r="N28" s="521">
        <f>'17 R1 INV COMP'!L47</f>
        <v>92832.73</v>
      </c>
      <c r="O28" s="521">
        <f>'17 R1 INV COMP'!M47</f>
        <v>8136</v>
      </c>
      <c r="P28" s="521">
        <f>'17 R1 INV COMP'!N47</f>
        <v>8136</v>
      </c>
      <c r="Q28" s="521">
        <f>'17 R1 INV COMP'!O47</f>
        <v>8136</v>
      </c>
      <c r="R28" s="521">
        <f>'17 R1 INV COMP'!P47</f>
        <v>8744</v>
      </c>
      <c r="S28" s="521">
        <f>'17 R1 INV COMP'!Q47</f>
        <v>8340</v>
      </c>
      <c r="T28" s="521">
        <f>'17 R1 INV COMP'!R47</f>
        <v>7830</v>
      </c>
      <c r="U28" s="521">
        <f>'17 R1 INV COMP'!S47</f>
        <v>7830</v>
      </c>
      <c r="V28" s="521">
        <f>'17 R1 INV COMP'!T47</f>
        <v>7830</v>
      </c>
      <c r="W28" s="521">
        <f>'17 R1 INV COMP'!U47</f>
        <v>7830</v>
      </c>
      <c r="X28" s="521">
        <f>'17 R1 INV COMP'!V47</f>
        <v>6406</v>
      </c>
      <c r="Y28" s="521">
        <f>'17 R1 INV COMP'!W47</f>
        <v>6406</v>
      </c>
      <c r="Z28" s="521">
        <f>'17 R1 INV COMP'!X47</f>
        <v>6406</v>
      </c>
      <c r="AA28" s="521">
        <f>'17 R1 INV COMP'!Y47</f>
        <v>6406</v>
      </c>
      <c r="AB28" s="521">
        <f>'17 R1 INV COMP'!Z47</f>
        <v>6406</v>
      </c>
      <c r="AC28" s="521">
        <f>'17 R1 INV COMP'!AA47</f>
        <v>7932</v>
      </c>
      <c r="AD28" s="521">
        <f>'17 R1 INV COMP'!AB47</f>
        <v>5390</v>
      </c>
      <c r="AE28" s="521">
        <f>'17 R1 INV COMP'!AC47</f>
        <v>5390</v>
      </c>
      <c r="AF28" s="521">
        <f>'17 R1 INV COMP'!AD47</f>
        <v>5390</v>
      </c>
      <c r="AG28" s="521">
        <f>'17 R1 INV COMP'!AE47</f>
        <v>5390</v>
      </c>
      <c r="AH28" s="521">
        <f>'17 R1 INV COMP'!AF47</f>
        <v>7932</v>
      </c>
      <c r="AI28" s="521">
        <f>'17 R1 INV COMP'!AG47</f>
        <v>5594</v>
      </c>
      <c r="AJ28" s="521">
        <f>'17 R1 INV COMP'!AH47</f>
        <v>5798</v>
      </c>
      <c r="AK28" s="521">
        <f>'17 R1 INV COMP'!AI47</f>
        <v>6202</v>
      </c>
      <c r="AL28" s="521">
        <f>'17 R1 INV COMP'!AJ47</f>
        <v>3327.3742445963435</v>
      </c>
      <c r="AM28" s="485"/>
      <c r="AN28" s="486">
        <f t="shared" si="0"/>
        <v>0</v>
      </c>
      <c r="AO28" s="485"/>
      <c r="AP28" s="485"/>
      <c r="AQ28" s="485"/>
      <c r="AR28" s="485"/>
      <c r="AS28" s="485"/>
      <c r="AT28" s="485"/>
      <c r="AU28" s="485"/>
      <c r="AV28" s="485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</row>
    <row r="29" spans="1:87">
      <c r="B29" s="356"/>
      <c r="C29" s="264" t="s">
        <v>450</v>
      </c>
      <c r="D29" s="250">
        <v>257.18900769150969</v>
      </c>
      <c r="E29" s="251" t="s">
        <v>142</v>
      </c>
      <c r="F29" s="503">
        <v>200</v>
      </c>
      <c r="G29" s="499">
        <f>'17 R1 INV COMP'!F49</f>
        <v>51437.801538301937</v>
      </c>
      <c r="H29" s="499" t="e">
        <f>'17 R1 INV COMP'!#REF!</f>
        <v>#REF!</v>
      </c>
      <c r="I29" s="499">
        <f>'17 R1 INV COMP'!G49</f>
        <v>0</v>
      </c>
      <c r="J29" s="499">
        <f>'17 R1 INV COMP'!H49</f>
        <v>9135.2916839056688</v>
      </c>
      <c r="K29" s="499">
        <f>'17 R1 INV COMP'!I49</f>
        <v>13302.509854396265</v>
      </c>
      <c r="L29" s="499">
        <f>'17 R1 INV COMP'!J49</f>
        <v>1400</v>
      </c>
      <c r="M29" s="499">
        <f>'17 R1 INV COMP'!K49</f>
        <v>1400</v>
      </c>
      <c r="N29" s="499">
        <f>'17 R1 INV COMP'!L49</f>
        <v>1400</v>
      </c>
      <c r="O29" s="499">
        <f>'17 R1 INV COMP'!M49</f>
        <v>1200</v>
      </c>
      <c r="P29" s="499">
        <f>'17 R1 INV COMP'!N49</f>
        <v>1200</v>
      </c>
      <c r="Q29" s="499">
        <f>'17 R1 INV COMP'!O49</f>
        <v>1200</v>
      </c>
      <c r="R29" s="499">
        <f>'17 R1 INV COMP'!P49</f>
        <v>1400</v>
      </c>
      <c r="S29" s="499">
        <f>'17 R1 INV COMP'!Q49</f>
        <v>1200</v>
      </c>
      <c r="T29" s="499">
        <f>'17 R1 INV COMP'!R49</f>
        <v>1200</v>
      </c>
      <c r="U29" s="499">
        <f>'17 R1 INV COMP'!S49</f>
        <v>1200</v>
      </c>
      <c r="V29" s="499">
        <f>'17 R1 INV COMP'!T49</f>
        <v>1200</v>
      </c>
      <c r="W29" s="499">
        <f>'17 R1 INV COMP'!U49</f>
        <v>1200</v>
      </c>
      <c r="X29" s="499">
        <f>'17 R1 INV COMP'!V49</f>
        <v>1000</v>
      </c>
      <c r="Y29" s="499">
        <f>'17 R1 INV COMP'!W49</f>
        <v>1000</v>
      </c>
      <c r="Z29" s="499">
        <f>'17 R1 INV COMP'!X49</f>
        <v>1000</v>
      </c>
      <c r="AA29" s="499">
        <f>'17 R1 INV COMP'!Y49</f>
        <v>1000</v>
      </c>
      <c r="AB29" s="499">
        <f>'17 R1 INV COMP'!Z49</f>
        <v>1000</v>
      </c>
      <c r="AC29" s="499">
        <f>'17 R1 INV COMP'!AA49</f>
        <v>1200</v>
      </c>
      <c r="AD29" s="499">
        <f>'17 R1 INV COMP'!AB49</f>
        <v>800</v>
      </c>
      <c r="AE29" s="499">
        <f>'17 R1 INV COMP'!AC49</f>
        <v>800</v>
      </c>
      <c r="AF29" s="499">
        <f>'17 R1 INV COMP'!AD49</f>
        <v>800</v>
      </c>
      <c r="AG29" s="499">
        <f>'17 R1 INV COMP'!AE49</f>
        <v>800</v>
      </c>
      <c r="AH29" s="499">
        <f>'17 R1 INV COMP'!AF49</f>
        <v>1200</v>
      </c>
      <c r="AI29" s="499">
        <f>'17 R1 INV COMP'!AG49</f>
        <v>800</v>
      </c>
      <c r="AJ29" s="499">
        <f>'17 R1 INV COMP'!AH49</f>
        <v>800</v>
      </c>
      <c r="AK29" s="499">
        <f>'17 R1 INV COMP'!AI49</f>
        <v>1000</v>
      </c>
      <c r="AL29" s="499">
        <f>'17 R1 INV COMP'!AJ49</f>
        <v>600</v>
      </c>
      <c r="AM29" s="484"/>
      <c r="AN29" s="486">
        <f t="shared" si="0"/>
        <v>0</v>
      </c>
      <c r="AO29" s="484"/>
      <c r="AP29" s="484"/>
      <c r="AQ29" s="484"/>
      <c r="AR29" s="484"/>
      <c r="AS29" s="484"/>
      <c r="AT29" s="484"/>
      <c r="AU29" s="484"/>
      <c r="AV29" s="484"/>
    </row>
    <row r="30" spans="1:87">
      <c r="B30" s="356"/>
      <c r="C30" s="268" t="s">
        <v>452</v>
      </c>
      <c r="D30" s="269">
        <v>5860.261036817682</v>
      </c>
      <c r="E30" s="253" t="s">
        <v>254</v>
      </c>
      <c r="F30" s="511">
        <v>102</v>
      </c>
      <c r="G30" s="499">
        <f>'17 R1 INV COMP'!F51</f>
        <v>623628</v>
      </c>
      <c r="H30" s="499" t="e">
        <f>'17 R1 INV COMP'!#REF!</f>
        <v>#REF!</v>
      </c>
      <c r="I30" s="499">
        <f>'17 R1 INV COMP'!G51</f>
        <v>22756.965280754393</v>
      </c>
      <c r="J30" s="499">
        <f>'17 R1 INV COMP'!H51</f>
        <v>16192.304509722799</v>
      </c>
      <c r="K30" s="499">
        <f>'17 R1 INV COMP'!I51</f>
        <v>14525.355964926393</v>
      </c>
      <c r="L30" s="499">
        <f>'17 R1 INV COMP'!J51</f>
        <v>416466</v>
      </c>
      <c r="M30" s="499">
        <f>'17 R1 INV COMP'!K51</f>
        <v>7548</v>
      </c>
      <c r="N30" s="499">
        <f>'17 R1 INV COMP'!L51</f>
        <v>7752</v>
      </c>
      <c r="O30" s="499">
        <f>'17 R1 INV COMP'!M51</f>
        <v>6936</v>
      </c>
      <c r="P30" s="499">
        <f>'17 R1 INV COMP'!N51</f>
        <v>6936</v>
      </c>
      <c r="Q30" s="499">
        <f>'17 R1 INV COMP'!O51</f>
        <v>6936</v>
      </c>
      <c r="R30" s="499">
        <f>'17 R1 INV COMP'!P51</f>
        <v>7344</v>
      </c>
      <c r="S30" s="499">
        <f>'17 R1 INV COMP'!Q51</f>
        <v>7140</v>
      </c>
      <c r="T30" s="499">
        <f>'17 R1 INV COMP'!R51</f>
        <v>6630</v>
      </c>
      <c r="U30" s="499">
        <f>'17 R1 INV COMP'!S51</f>
        <v>6630</v>
      </c>
      <c r="V30" s="499">
        <f>'17 R1 INV COMP'!T51</f>
        <v>6630</v>
      </c>
      <c r="W30" s="499">
        <f>'17 R1 INV COMP'!U51</f>
        <v>6630</v>
      </c>
      <c r="X30" s="499">
        <f>'17 R1 INV COMP'!V51</f>
        <v>5406</v>
      </c>
      <c r="Y30" s="499">
        <f>'17 R1 INV COMP'!W51</f>
        <v>5406</v>
      </c>
      <c r="Z30" s="499">
        <f>'17 R1 INV COMP'!X51</f>
        <v>5406</v>
      </c>
      <c r="AA30" s="499">
        <f>'17 R1 INV COMP'!Y51</f>
        <v>5406</v>
      </c>
      <c r="AB30" s="499">
        <f>'17 R1 INV COMP'!Z51</f>
        <v>5406</v>
      </c>
      <c r="AC30" s="499">
        <f>'17 R1 INV COMP'!AA51</f>
        <v>6732</v>
      </c>
      <c r="AD30" s="499">
        <f>'17 R1 INV COMP'!AB51</f>
        <v>4590</v>
      </c>
      <c r="AE30" s="499">
        <f>'17 R1 INV COMP'!AC51</f>
        <v>4590</v>
      </c>
      <c r="AF30" s="499">
        <f>'17 R1 INV COMP'!AD51</f>
        <v>4590</v>
      </c>
      <c r="AG30" s="499">
        <f>'17 R1 INV COMP'!AE51</f>
        <v>4590</v>
      </c>
      <c r="AH30" s="499">
        <f>'17 R1 INV COMP'!AF51</f>
        <v>6732</v>
      </c>
      <c r="AI30" s="499">
        <f>'17 R1 INV COMP'!AG51</f>
        <v>4794</v>
      </c>
      <c r="AJ30" s="499">
        <f>'17 R1 INV COMP'!AH51</f>
        <v>4998</v>
      </c>
      <c r="AK30" s="499">
        <f>'17 R1 INV COMP'!AI51</f>
        <v>5202</v>
      </c>
      <c r="AL30" s="499">
        <f>'17 R1 INV COMP'!AJ51</f>
        <v>2727.3742445963435</v>
      </c>
      <c r="AM30" s="484"/>
      <c r="AN30" s="486">
        <f t="shared" si="0"/>
        <v>0</v>
      </c>
      <c r="AO30" s="484"/>
      <c r="AP30" s="484"/>
      <c r="AQ30" s="484"/>
      <c r="AR30" s="484"/>
      <c r="AS30" s="484"/>
      <c r="AT30" s="484"/>
      <c r="AU30" s="484"/>
      <c r="AV30" s="484"/>
    </row>
    <row r="31" spans="1:87" ht="13.5" thickBot="1">
      <c r="B31" s="192"/>
      <c r="C31" s="261" t="s">
        <v>455</v>
      </c>
      <c r="D31" s="270">
        <v>1</v>
      </c>
      <c r="E31" s="263" t="s">
        <v>142</v>
      </c>
      <c r="F31" s="512">
        <v>261631.9</v>
      </c>
      <c r="G31" s="502">
        <f>'17 R1 INV COMP'!F53</f>
        <v>0</v>
      </c>
      <c r="H31" s="502" t="e">
        <f>'17 R1 INV COMP'!#REF!</f>
        <v>#REF!</v>
      </c>
      <c r="I31" s="502">
        <f>'17 R1 INV COMP'!G53</f>
        <v>0</v>
      </c>
      <c r="J31" s="502">
        <f>'17 R1 INV COMP'!H53</f>
        <v>0</v>
      </c>
      <c r="K31" s="502">
        <f>'17 R1 INV COMP'!I53</f>
        <v>0</v>
      </c>
      <c r="L31" s="502">
        <f>'17 R1 INV COMP'!J53</f>
        <v>0</v>
      </c>
      <c r="M31" s="502">
        <f>'17 R1 INV COMP'!K53</f>
        <v>0</v>
      </c>
      <c r="N31" s="502">
        <f>'17 R1 INV COMP'!L53</f>
        <v>0</v>
      </c>
      <c r="O31" s="502">
        <f>'17 R1 INV COMP'!M53</f>
        <v>0</v>
      </c>
      <c r="P31" s="502">
        <f>'17 R1 INV COMP'!N53</f>
        <v>0</v>
      </c>
      <c r="Q31" s="502">
        <f>'17 R1 INV COMP'!O53</f>
        <v>0</v>
      </c>
      <c r="R31" s="502">
        <f>'17 R1 INV COMP'!P53</f>
        <v>0</v>
      </c>
      <c r="S31" s="502">
        <f>'17 R1 INV COMP'!Q53</f>
        <v>0</v>
      </c>
      <c r="T31" s="502">
        <f>'17 R1 INV COMP'!R53</f>
        <v>0</v>
      </c>
      <c r="U31" s="502">
        <f>'17 R1 INV COMP'!S53</f>
        <v>0</v>
      </c>
      <c r="V31" s="502">
        <f>'17 R1 INV COMP'!T53</f>
        <v>0</v>
      </c>
      <c r="W31" s="502">
        <f>'17 R1 INV COMP'!U53</f>
        <v>0</v>
      </c>
      <c r="X31" s="502">
        <f>'17 R1 INV COMP'!V53</f>
        <v>0</v>
      </c>
      <c r="Y31" s="502">
        <f>'17 R1 INV COMP'!W53</f>
        <v>0</v>
      </c>
      <c r="Z31" s="502">
        <f>'17 R1 INV COMP'!X53</f>
        <v>0</v>
      </c>
      <c r="AA31" s="502">
        <f>'17 R1 INV COMP'!Y53</f>
        <v>0</v>
      </c>
      <c r="AB31" s="502">
        <f>'17 R1 INV COMP'!Z53</f>
        <v>0</v>
      </c>
      <c r="AC31" s="502">
        <f>'17 R1 INV COMP'!AA53</f>
        <v>0</v>
      </c>
      <c r="AD31" s="502">
        <f>'17 R1 INV COMP'!AB53</f>
        <v>0</v>
      </c>
      <c r="AE31" s="502">
        <f>'17 R1 INV COMP'!AC53</f>
        <v>0</v>
      </c>
      <c r="AF31" s="502">
        <f>'17 R1 INV COMP'!AD53</f>
        <v>0</v>
      </c>
      <c r="AG31" s="502">
        <f>'17 R1 INV COMP'!AE53</f>
        <v>0</v>
      </c>
      <c r="AH31" s="502">
        <f>'17 R1 INV COMP'!AF53</f>
        <v>0</v>
      </c>
      <c r="AI31" s="502">
        <f>'17 R1 INV COMP'!AG53</f>
        <v>0</v>
      </c>
      <c r="AJ31" s="502">
        <f>'17 R1 INV COMP'!AH53</f>
        <v>0</v>
      </c>
      <c r="AK31" s="502">
        <f>'17 R1 INV COMP'!AI53</f>
        <v>0</v>
      </c>
      <c r="AL31" s="502">
        <f>'17 R1 INV COMP'!AJ53</f>
        <v>0</v>
      </c>
      <c r="AM31" s="484"/>
      <c r="AN31" s="486">
        <f t="shared" si="0"/>
        <v>0</v>
      </c>
      <c r="AO31" s="484"/>
      <c r="AP31" s="484"/>
      <c r="AQ31" s="484"/>
      <c r="AR31" s="484"/>
      <c r="AS31" s="484"/>
      <c r="AT31" s="484"/>
      <c r="AU31" s="484"/>
      <c r="AV31" s="484"/>
    </row>
    <row r="32" spans="1:87" ht="13.5" thickBot="1">
      <c r="E32" s="275"/>
      <c r="F32" s="508"/>
      <c r="G32" s="508"/>
      <c r="H32" s="508"/>
      <c r="I32" s="508"/>
      <c r="J32" s="508"/>
      <c r="K32" s="508"/>
      <c r="L32" s="508"/>
      <c r="M32" s="508"/>
      <c r="N32" s="508"/>
      <c r="O32" s="508"/>
      <c r="P32" s="508"/>
      <c r="Q32" s="508"/>
      <c r="R32" s="508"/>
      <c r="S32" s="508"/>
      <c r="T32" s="508"/>
      <c r="U32" s="508"/>
      <c r="V32" s="508"/>
      <c r="W32" s="508"/>
      <c r="X32" s="508"/>
      <c r="Y32" s="508"/>
      <c r="Z32" s="508"/>
      <c r="AA32" s="508"/>
      <c r="AB32" s="508"/>
      <c r="AC32" s="508"/>
      <c r="AD32" s="508"/>
      <c r="AE32" s="508"/>
      <c r="AF32" s="508"/>
      <c r="AG32" s="508"/>
      <c r="AH32" s="508"/>
      <c r="AI32" s="508"/>
      <c r="AJ32" s="508"/>
      <c r="AK32" s="508"/>
      <c r="AL32" s="508"/>
      <c r="AM32" s="484"/>
      <c r="AN32" s="486"/>
      <c r="AO32" s="484"/>
      <c r="AP32" s="484"/>
      <c r="AQ32" s="484"/>
      <c r="AR32" s="484"/>
      <c r="AS32" s="484"/>
      <c r="AT32" s="484"/>
      <c r="AU32" s="484"/>
      <c r="AV32" s="484"/>
    </row>
    <row r="33" spans="1:87" ht="13.5" thickBot="1">
      <c r="A33" s="882"/>
      <c r="B33" s="792" t="s">
        <v>156</v>
      </c>
      <c r="C33" s="463" t="s">
        <v>157</v>
      </c>
      <c r="D33" s="464"/>
      <c r="E33" s="465"/>
      <c r="F33" s="513"/>
      <c r="G33" s="521">
        <f>'17 R1 INV COMP'!F62</f>
        <v>16260693.53017902</v>
      </c>
      <c r="H33" s="521" t="e">
        <f>'17 R1 INV COMP'!#REF!</f>
        <v>#REF!</v>
      </c>
      <c r="I33" s="521">
        <f>'17 R1 INV COMP'!G62</f>
        <v>37879.125589369905</v>
      </c>
      <c r="J33" s="521">
        <f>'17 R1 INV COMP'!H62</f>
        <v>571.94869673148537</v>
      </c>
      <c r="K33" s="521">
        <f>'17 R1 INV COMP'!I62</f>
        <v>9420.8028316306008</v>
      </c>
      <c r="L33" s="521">
        <f>'17 R1 INV COMP'!J62</f>
        <v>816</v>
      </c>
      <c r="M33" s="521">
        <f>'17 R1 INV COMP'!K62</f>
        <v>4753466.1814534497</v>
      </c>
      <c r="N33" s="521">
        <f>'17 R1 INV COMP'!L62</f>
        <v>595557.84756711626</v>
      </c>
      <c r="O33" s="521">
        <f>'17 R1 INV COMP'!M62</f>
        <v>1665461.7728142848</v>
      </c>
      <c r="P33" s="521">
        <f>'17 R1 INV COMP'!N62</f>
        <v>1144098.0717231876</v>
      </c>
      <c r="Q33" s="521">
        <f>'17 R1 INV COMP'!O62</f>
        <v>1876522.1650870387</v>
      </c>
      <c r="R33" s="521">
        <f>'17 R1 INV COMP'!P62</f>
        <v>951526.31680762395</v>
      </c>
      <c r="S33" s="521">
        <f>'17 R1 INV COMP'!Q62</f>
        <v>2605657.7258695289</v>
      </c>
      <c r="T33" s="521">
        <f>'17 R1 INV COMP'!R62</f>
        <v>2305672.4517390579</v>
      </c>
      <c r="U33" s="521">
        <f>'17 R1 INV COMP'!S62</f>
        <v>21049</v>
      </c>
      <c r="V33" s="521">
        <f>'17 R1 INV COMP'!T62</f>
        <v>21049</v>
      </c>
      <c r="W33" s="521">
        <f>'17 R1 INV COMP'!U62</f>
        <v>21049</v>
      </c>
      <c r="X33" s="521">
        <f>'17 R1 INV COMP'!V62</f>
        <v>17185</v>
      </c>
      <c r="Y33" s="521">
        <f>'17 R1 INV COMP'!W62</f>
        <v>17185</v>
      </c>
      <c r="Z33" s="521">
        <f>'17 R1 INV COMP'!X62</f>
        <v>17185</v>
      </c>
      <c r="AA33" s="521">
        <f>'17 R1 INV COMP'!Y62</f>
        <v>17185</v>
      </c>
      <c r="AB33" s="521">
        <f>'17 R1 INV COMP'!Z62</f>
        <v>17185</v>
      </c>
      <c r="AC33" s="521">
        <f>'17 R1 INV COMP'!AA62</f>
        <v>21354</v>
      </c>
      <c r="AD33" s="521">
        <f>'17 R1 INV COMP'!AB62</f>
        <v>14541</v>
      </c>
      <c r="AE33" s="521">
        <f>'17 R1 INV COMP'!AC62</f>
        <v>14541</v>
      </c>
      <c r="AF33" s="521">
        <f>'17 R1 INV COMP'!AD62</f>
        <v>14541</v>
      </c>
      <c r="AG33" s="521">
        <f>'17 R1 INV COMP'!AE62</f>
        <v>14541</v>
      </c>
      <c r="AH33" s="521">
        <f>'17 R1 INV COMP'!AF62</f>
        <v>21354</v>
      </c>
      <c r="AI33" s="521">
        <f>'17 R1 INV COMP'!AG62</f>
        <v>15151</v>
      </c>
      <c r="AJ33" s="521">
        <f>'17 R1 INV COMP'!AH62</f>
        <v>15761</v>
      </c>
      <c r="AK33" s="521">
        <f>'17 R1 INV COMP'!AI62</f>
        <v>16575</v>
      </c>
      <c r="AL33" s="521">
        <f>'17 R1 INV COMP'!AJ62</f>
        <v>16612.120000000003</v>
      </c>
      <c r="AM33" s="485"/>
      <c r="AN33" s="486">
        <f t="shared" si="0"/>
        <v>0</v>
      </c>
      <c r="AO33" s="485"/>
      <c r="AP33" s="485"/>
      <c r="AQ33" s="485"/>
      <c r="AR33" s="485"/>
      <c r="AS33" s="485"/>
      <c r="AT33" s="485"/>
      <c r="AU33" s="485"/>
      <c r="AV33" s="485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</row>
    <row r="34" spans="1:87">
      <c r="B34" s="184"/>
      <c r="C34" s="264" t="s">
        <v>456</v>
      </c>
      <c r="D34" s="271">
        <v>1955</v>
      </c>
      <c r="E34" s="251" t="s">
        <v>142</v>
      </c>
      <c r="F34" s="514">
        <v>204</v>
      </c>
      <c r="G34" s="501">
        <f>'17 R1 INV COMP'!F64</f>
        <v>398820</v>
      </c>
      <c r="H34" s="501" t="e">
        <f>'17 R1 INV COMP'!#REF!</f>
        <v>#REF!</v>
      </c>
      <c r="I34" s="501">
        <f>'17 R1 INV COMP'!G64</f>
        <v>0</v>
      </c>
      <c r="J34" s="501">
        <f>'17 R1 INV COMP'!H64</f>
        <v>0</v>
      </c>
      <c r="K34" s="501">
        <f>'17 R1 INV COMP'!I64</f>
        <v>0</v>
      </c>
      <c r="L34" s="501">
        <f>'17 R1 INV COMP'!J64</f>
        <v>816</v>
      </c>
      <c r="M34" s="501">
        <f>'17 R1 INV COMP'!K64</f>
        <v>816</v>
      </c>
      <c r="N34" s="501">
        <f>'17 R1 INV COMP'!L64</f>
        <v>17748</v>
      </c>
      <c r="O34" s="501">
        <f>'17 R1 INV COMP'!M64</f>
        <v>85272</v>
      </c>
      <c r="P34" s="501">
        <f>'17 R1 INV COMP'!N64</f>
        <v>34680</v>
      </c>
      <c r="Q34" s="501">
        <f>'17 R1 INV COMP'!O64</f>
        <v>26316</v>
      </c>
      <c r="R34" s="501">
        <f>'17 R1 INV COMP'!P64</f>
        <v>34884</v>
      </c>
      <c r="S34" s="501">
        <f>'17 R1 INV COMP'!Q64</f>
        <v>68952</v>
      </c>
      <c r="T34" s="501">
        <f>'17 R1 INV COMP'!R64</f>
        <v>103836</v>
      </c>
      <c r="U34" s="501">
        <f>'17 R1 INV COMP'!S64</f>
        <v>1224</v>
      </c>
      <c r="V34" s="501">
        <f>'17 R1 INV COMP'!T64</f>
        <v>1224</v>
      </c>
      <c r="W34" s="501">
        <f>'17 R1 INV COMP'!U64</f>
        <v>1224</v>
      </c>
      <c r="X34" s="501">
        <f>'17 R1 INV COMP'!V64</f>
        <v>1020</v>
      </c>
      <c r="Y34" s="501">
        <f>'17 R1 INV COMP'!W64</f>
        <v>1020</v>
      </c>
      <c r="Z34" s="501">
        <f>'17 R1 INV COMP'!X64</f>
        <v>1020</v>
      </c>
      <c r="AA34" s="501">
        <f>'17 R1 INV COMP'!Y64</f>
        <v>1020</v>
      </c>
      <c r="AB34" s="501">
        <f>'17 R1 INV COMP'!Z64</f>
        <v>1020</v>
      </c>
      <c r="AC34" s="501">
        <f>'17 R1 INV COMP'!AA64</f>
        <v>1224</v>
      </c>
      <c r="AD34" s="501">
        <f>'17 R1 INV COMP'!AB64</f>
        <v>816</v>
      </c>
      <c r="AE34" s="501">
        <f>'17 R1 INV COMP'!AC64</f>
        <v>816</v>
      </c>
      <c r="AF34" s="501">
        <f>'17 R1 INV COMP'!AD64</f>
        <v>816</v>
      </c>
      <c r="AG34" s="501">
        <f>'17 R1 INV COMP'!AE64</f>
        <v>816</v>
      </c>
      <c r="AH34" s="501">
        <f>'17 R1 INV COMP'!AF64</f>
        <v>1224</v>
      </c>
      <c r="AI34" s="501">
        <f>'17 R1 INV COMP'!AG64</f>
        <v>816</v>
      </c>
      <c r="AJ34" s="501">
        <f>'17 R1 INV COMP'!AH64</f>
        <v>816</v>
      </c>
      <c r="AK34" s="501">
        <f>'17 R1 INV COMP'!AI64</f>
        <v>1020</v>
      </c>
      <c r="AL34" s="501">
        <f>'17 R1 INV COMP'!AJ64</f>
        <v>8364</v>
      </c>
      <c r="AM34" s="484"/>
      <c r="AN34" s="486">
        <f t="shared" si="0"/>
        <v>0</v>
      </c>
      <c r="AO34" s="484"/>
      <c r="AP34" s="484"/>
      <c r="AQ34" s="484"/>
      <c r="AR34" s="484"/>
      <c r="AS34" s="484"/>
      <c r="AT34" s="484"/>
      <c r="AU34" s="484"/>
      <c r="AV34" s="484"/>
    </row>
    <row r="35" spans="1:87">
      <c r="B35" s="185"/>
      <c r="C35" s="265" t="s">
        <v>457</v>
      </c>
      <c r="D35" s="269">
        <v>19942.956974156499</v>
      </c>
      <c r="E35" s="253" t="s">
        <v>254</v>
      </c>
      <c r="F35" s="515">
        <v>305</v>
      </c>
      <c r="G35" s="499">
        <f>'17 R1 INV COMP'!F66</f>
        <v>6247639.1971177319</v>
      </c>
      <c r="H35" s="499" t="e">
        <f>'17 R1 INV COMP'!#REF!</f>
        <v>#REF!</v>
      </c>
      <c r="I35" s="499">
        <f>'17 R1 INV COMP'!G66</f>
        <v>37879.125589369905</v>
      </c>
      <c r="J35" s="499">
        <f>'17 R1 INV COMP'!H66</f>
        <v>571.94869673148537</v>
      </c>
      <c r="K35" s="499">
        <f>'17 R1 INV COMP'!I66</f>
        <v>9420.8028316306008</v>
      </c>
      <c r="L35" s="499">
        <f>'17 R1 INV COMP'!J66</f>
        <v>0</v>
      </c>
      <c r="M35" s="499">
        <f>'17 R1 INV COMP'!K66</f>
        <v>0</v>
      </c>
      <c r="N35" s="499">
        <f>'17 R1 INV COMP'!L66</f>
        <v>165024.20000000001</v>
      </c>
      <c r="O35" s="499">
        <f>'17 R1 INV COMP'!M66</f>
        <v>1211155</v>
      </c>
      <c r="P35" s="499">
        <f>'17 R1 INV COMP'!N66</f>
        <v>158905</v>
      </c>
      <c r="Q35" s="499">
        <f>'17 R1 INV COMP'!O66</f>
        <v>43310</v>
      </c>
      <c r="R35" s="499">
        <f>'17 R1 INV COMP'!P66</f>
        <v>493795</v>
      </c>
      <c r="S35" s="499">
        <f>'17 R1 INV COMP'!Q66</f>
        <v>2236870</v>
      </c>
      <c r="T35" s="499">
        <f>'17 R1 INV COMP'!R66</f>
        <v>1602165</v>
      </c>
      <c r="U35" s="499">
        <f>'17 R1 INV COMP'!S66</f>
        <v>19825</v>
      </c>
      <c r="V35" s="499">
        <f>'17 R1 INV COMP'!T66</f>
        <v>19825</v>
      </c>
      <c r="W35" s="499">
        <f>'17 R1 INV COMP'!U66</f>
        <v>19825</v>
      </c>
      <c r="X35" s="499">
        <f>'17 R1 INV COMP'!V66</f>
        <v>16165</v>
      </c>
      <c r="Y35" s="499">
        <f>'17 R1 INV COMP'!W66</f>
        <v>16165</v>
      </c>
      <c r="Z35" s="499">
        <f>'17 R1 INV COMP'!X66</f>
        <v>16165</v>
      </c>
      <c r="AA35" s="499">
        <f>'17 R1 INV COMP'!Y66</f>
        <v>16165</v>
      </c>
      <c r="AB35" s="499">
        <f>'17 R1 INV COMP'!Z66</f>
        <v>16165</v>
      </c>
      <c r="AC35" s="499">
        <f>'17 R1 INV COMP'!AA66</f>
        <v>20130</v>
      </c>
      <c r="AD35" s="499">
        <f>'17 R1 INV COMP'!AB66</f>
        <v>13725</v>
      </c>
      <c r="AE35" s="499">
        <f>'17 R1 INV COMP'!AC66</f>
        <v>13725</v>
      </c>
      <c r="AF35" s="499">
        <f>'17 R1 INV COMP'!AD66</f>
        <v>13725</v>
      </c>
      <c r="AG35" s="499">
        <f>'17 R1 INV COMP'!AE66</f>
        <v>13725</v>
      </c>
      <c r="AH35" s="499">
        <f>'17 R1 INV COMP'!AF66</f>
        <v>20130</v>
      </c>
      <c r="AI35" s="499">
        <f>'17 R1 INV COMP'!AG66</f>
        <v>14335</v>
      </c>
      <c r="AJ35" s="499">
        <f>'17 R1 INV COMP'!AH66</f>
        <v>14945</v>
      </c>
      <c r="AK35" s="499">
        <f>'17 R1 INV COMP'!AI66</f>
        <v>15555</v>
      </c>
      <c r="AL35" s="499">
        <f>'17 R1 INV COMP'!AJ66</f>
        <v>8248.1200000000008</v>
      </c>
      <c r="AM35" s="484"/>
      <c r="AN35" s="486">
        <f t="shared" si="0"/>
        <v>0</v>
      </c>
      <c r="AO35" s="484"/>
      <c r="AP35" s="484"/>
      <c r="AQ35" s="484"/>
      <c r="AR35" s="484"/>
      <c r="AS35" s="484"/>
      <c r="AT35" s="484"/>
      <c r="AU35" s="484"/>
      <c r="AV35" s="484"/>
    </row>
    <row r="36" spans="1:87">
      <c r="B36" s="185"/>
      <c r="C36" s="265" t="s">
        <v>406</v>
      </c>
      <c r="D36" s="269">
        <f>G36/F36</f>
        <v>9491.0000197629597</v>
      </c>
      <c r="E36" s="253" t="s">
        <v>254</v>
      </c>
      <c r="F36" s="515">
        <v>357.69986790911287</v>
      </c>
      <c r="G36" s="499">
        <f>'17 R1 INV COMP'!F68</f>
        <v>3394929.4533945983</v>
      </c>
      <c r="H36" s="499" t="e">
        <f>'17 R1 INV COMP'!#REF!</f>
        <v>#REF!</v>
      </c>
      <c r="I36" s="499">
        <f>'17 R1 INV COMP'!G68</f>
        <v>0</v>
      </c>
      <c r="J36" s="499">
        <f>'17 R1 INV COMP'!H68</f>
        <v>0</v>
      </c>
      <c r="K36" s="499">
        <f>'17 R1 INV COMP'!I68</f>
        <v>0</v>
      </c>
      <c r="L36" s="499">
        <f>'17 R1 INV COMP'!J68</f>
        <v>0</v>
      </c>
      <c r="M36" s="499">
        <f>'17 R1 INV COMP'!K68</f>
        <v>1016616.6586391644</v>
      </c>
      <c r="N36" s="499">
        <f>'17 R1 INV COMP'!L68</f>
        <v>412785.64756711625</v>
      </c>
      <c r="O36" s="499">
        <f>'17 R1 INV COMP'!M68</f>
        <v>0</v>
      </c>
      <c r="P36" s="499">
        <f>'17 R1 INV COMP'!N68</f>
        <v>704489.8898469978</v>
      </c>
      <c r="Q36" s="499">
        <f>'17 R1 INV COMP'!O68</f>
        <v>1261037.2573413199</v>
      </c>
      <c r="R36" s="499">
        <f>'17 R1 INV COMP'!P68</f>
        <v>0</v>
      </c>
      <c r="S36" s="499">
        <f>'17 R1 INV COMP'!Q68</f>
        <v>0</v>
      </c>
      <c r="T36" s="499">
        <f>'17 R1 INV COMP'!R68</f>
        <v>0</v>
      </c>
      <c r="U36" s="499">
        <f>'17 R1 INV COMP'!S68</f>
        <v>0</v>
      </c>
      <c r="V36" s="499">
        <f>'17 R1 INV COMP'!T68</f>
        <v>0</v>
      </c>
      <c r="W36" s="499">
        <f>'17 R1 INV COMP'!U68</f>
        <v>0</v>
      </c>
      <c r="X36" s="499">
        <f>'17 R1 INV COMP'!V68</f>
        <v>0</v>
      </c>
      <c r="Y36" s="499">
        <f>'17 R1 INV COMP'!W68</f>
        <v>0</v>
      </c>
      <c r="Z36" s="499">
        <f>'17 R1 INV COMP'!X68</f>
        <v>0</v>
      </c>
      <c r="AA36" s="499">
        <f>'17 R1 INV COMP'!Y68</f>
        <v>0</v>
      </c>
      <c r="AB36" s="499">
        <f>'17 R1 INV COMP'!Z68</f>
        <v>0</v>
      </c>
      <c r="AC36" s="499">
        <f>'17 R1 INV COMP'!AA68</f>
        <v>0</v>
      </c>
      <c r="AD36" s="499">
        <f>'17 R1 INV COMP'!AB68</f>
        <v>0</v>
      </c>
      <c r="AE36" s="499">
        <f>'17 R1 INV COMP'!AC68</f>
        <v>0</v>
      </c>
      <c r="AF36" s="499">
        <f>'17 R1 INV COMP'!AD68</f>
        <v>0</v>
      </c>
      <c r="AG36" s="499">
        <f>'17 R1 INV COMP'!AE68</f>
        <v>0</v>
      </c>
      <c r="AH36" s="499">
        <f>'17 R1 INV COMP'!AF68</f>
        <v>0</v>
      </c>
      <c r="AI36" s="499">
        <f>'17 R1 INV COMP'!AG68</f>
        <v>0</v>
      </c>
      <c r="AJ36" s="499">
        <f>'17 R1 INV COMP'!AH68</f>
        <v>0</v>
      </c>
      <c r="AK36" s="499">
        <f>'17 R1 INV COMP'!AI68</f>
        <v>0</v>
      </c>
      <c r="AL36" s="499">
        <f>'17 R1 INV COMP'!AJ68</f>
        <v>0</v>
      </c>
      <c r="AM36" s="484"/>
      <c r="AN36" s="486">
        <f t="shared" si="0"/>
        <v>0</v>
      </c>
      <c r="AO36" s="484"/>
      <c r="AP36" s="484"/>
      <c r="AQ36" s="484"/>
      <c r="AR36" s="484"/>
      <c r="AS36" s="484"/>
      <c r="AT36" s="484"/>
      <c r="AU36" s="484"/>
      <c r="AV36" s="484"/>
    </row>
    <row r="37" spans="1:87" ht="22.5">
      <c r="B37" s="185"/>
      <c r="C37" s="265" t="s">
        <v>458</v>
      </c>
      <c r="D37" s="269">
        <v>1</v>
      </c>
      <c r="E37" s="253" t="s">
        <v>249</v>
      </c>
      <c r="F37" s="515">
        <v>1353127.5003190441</v>
      </c>
      <c r="G37" s="499">
        <f>'17 R1 INV COMP'!F70</f>
        <v>1353127.5003190441</v>
      </c>
      <c r="H37" s="499" t="e">
        <f>'17 R1 INV COMP'!#REF!</f>
        <v>#REF!</v>
      </c>
      <c r="I37" s="499">
        <f>'17 R1 INV COMP'!G70</f>
        <v>0</v>
      </c>
      <c r="J37" s="499">
        <f>'17 R1 INV COMP'!H70</f>
        <v>0</v>
      </c>
      <c r="K37" s="499">
        <f>'17 R1 INV COMP'!I70</f>
        <v>0</v>
      </c>
      <c r="L37" s="499">
        <f>'17 R1 INV COMP'!J70</f>
        <v>0</v>
      </c>
      <c r="M37" s="499">
        <f>'17 R1 INV COMP'!K70</f>
        <v>369034.77281428478</v>
      </c>
      <c r="N37" s="499">
        <f>'17 R1 INV COMP'!L70</f>
        <v>0</v>
      </c>
      <c r="O37" s="499">
        <f>'17 R1 INV COMP'!M70</f>
        <v>369034.77281428478</v>
      </c>
      <c r="P37" s="499">
        <f>'17 R1 INV COMP'!N70</f>
        <v>246023.18187618983</v>
      </c>
      <c r="Q37" s="499">
        <f>'17 R1 INV COMP'!O70</f>
        <v>246023.18187618983</v>
      </c>
      <c r="R37" s="499">
        <f>'17 R1 INV COMP'!P70</f>
        <v>123011.59093809492</v>
      </c>
      <c r="S37" s="499">
        <f>'17 R1 INV COMP'!Q70</f>
        <v>0</v>
      </c>
      <c r="T37" s="499">
        <f>'17 R1 INV COMP'!R70</f>
        <v>0</v>
      </c>
      <c r="U37" s="499">
        <f>'17 R1 INV COMP'!S70</f>
        <v>0</v>
      </c>
      <c r="V37" s="499">
        <f>'17 R1 INV COMP'!T70</f>
        <v>0</v>
      </c>
      <c r="W37" s="499">
        <f>'17 R1 INV COMP'!U70</f>
        <v>0</v>
      </c>
      <c r="X37" s="499">
        <f>'17 R1 INV COMP'!V70</f>
        <v>0</v>
      </c>
      <c r="Y37" s="499">
        <f>'17 R1 INV COMP'!W70</f>
        <v>0</v>
      </c>
      <c r="Z37" s="499">
        <f>'17 R1 INV COMP'!X70</f>
        <v>0</v>
      </c>
      <c r="AA37" s="499">
        <f>'17 R1 INV COMP'!Y70</f>
        <v>0</v>
      </c>
      <c r="AB37" s="499">
        <f>'17 R1 INV COMP'!Z70</f>
        <v>0</v>
      </c>
      <c r="AC37" s="499">
        <f>'17 R1 INV COMP'!AA70</f>
        <v>0</v>
      </c>
      <c r="AD37" s="499">
        <f>'17 R1 INV COMP'!AB70</f>
        <v>0</v>
      </c>
      <c r="AE37" s="499">
        <f>'17 R1 INV COMP'!AC70</f>
        <v>0</v>
      </c>
      <c r="AF37" s="499">
        <f>'17 R1 INV COMP'!AD70</f>
        <v>0</v>
      </c>
      <c r="AG37" s="499">
        <f>'17 R1 INV COMP'!AE70</f>
        <v>0</v>
      </c>
      <c r="AH37" s="499">
        <f>'17 R1 INV COMP'!AF70</f>
        <v>0</v>
      </c>
      <c r="AI37" s="499">
        <f>'17 R1 INV COMP'!AG70</f>
        <v>0</v>
      </c>
      <c r="AJ37" s="499">
        <f>'17 R1 INV COMP'!AH70</f>
        <v>0</v>
      </c>
      <c r="AK37" s="499">
        <f>'17 R1 INV COMP'!AI70</f>
        <v>0</v>
      </c>
      <c r="AL37" s="499">
        <f>'17 R1 INV COMP'!AJ70</f>
        <v>0</v>
      </c>
      <c r="AM37" s="484"/>
      <c r="AN37" s="486">
        <f t="shared" si="0"/>
        <v>0</v>
      </c>
      <c r="AO37" s="484"/>
      <c r="AP37" s="484"/>
      <c r="AQ37" s="484"/>
      <c r="AR37" s="484"/>
      <c r="AS37" s="484"/>
      <c r="AT37" s="484"/>
      <c r="AU37" s="484"/>
      <c r="AV37" s="484"/>
    </row>
    <row r="38" spans="1:87" ht="22.5">
      <c r="B38" s="185"/>
      <c r="C38" s="265" t="s">
        <v>407</v>
      </c>
      <c r="D38" s="269">
        <v>1</v>
      </c>
      <c r="E38" s="253" t="s">
        <v>249</v>
      </c>
      <c r="F38" s="515">
        <v>3366998.75</v>
      </c>
      <c r="G38" s="499">
        <f>'17 R1 INV COMP'!F72</f>
        <v>3366998.75</v>
      </c>
      <c r="H38" s="499" t="e">
        <f>'17 R1 INV COMP'!#REF!</f>
        <v>#REF!</v>
      </c>
      <c r="I38" s="499">
        <f>'17 R1 INV COMP'!G72</f>
        <v>0</v>
      </c>
      <c r="J38" s="499">
        <f>'17 R1 INV COMP'!H72</f>
        <v>0</v>
      </c>
      <c r="K38" s="499">
        <f>'17 R1 INV COMP'!I72</f>
        <v>0</v>
      </c>
      <c r="L38" s="499">
        <v>0</v>
      </c>
      <c r="M38" s="499">
        <f>'17 R1 INV COMP'!K72</f>
        <v>3366998.75</v>
      </c>
      <c r="N38" s="499">
        <f>'17 R1 INV COMP'!L72</f>
        <v>0</v>
      </c>
      <c r="O38" s="499">
        <f>'17 R1 INV COMP'!M72</f>
        <v>0</v>
      </c>
      <c r="P38" s="499">
        <f>'17 R1 INV COMP'!N72</f>
        <v>0</v>
      </c>
      <c r="Q38" s="499">
        <f>'17 R1 INV COMP'!O72</f>
        <v>0</v>
      </c>
      <c r="R38" s="499">
        <f>'17 R1 INV COMP'!P72</f>
        <v>0</v>
      </c>
      <c r="S38" s="499">
        <f>'17 R1 INV COMP'!Q72</f>
        <v>0</v>
      </c>
      <c r="T38" s="499">
        <f>'17 R1 INV COMP'!R72</f>
        <v>0</v>
      </c>
      <c r="U38" s="499">
        <f>'17 R1 INV COMP'!S72</f>
        <v>0</v>
      </c>
      <c r="V38" s="499">
        <f>'17 R1 INV COMP'!T72</f>
        <v>0</v>
      </c>
      <c r="W38" s="499">
        <f>'17 R1 INV COMP'!U72</f>
        <v>0</v>
      </c>
      <c r="X38" s="499">
        <f>'17 R1 INV COMP'!V72</f>
        <v>0</v>
      </c>
      <c r="Y38" s="499">
        <f>'17 R1 INV COMP'!W72</f>
        <v>0</v>
      </c>
      <c r="Z38" s="499">
        <f>'17 R1 INV COMP'!X72</f>
        <v>0</v>
      </c>
      <c r="AA38" s="499">
        <f>'17 R1 INV COMP'!Y72</f>
        <v>0</v>
      </c>
      <c r="AB38" s="499">
        <f>'17 R1 INV COMP'!Z72</f>
        <v>0</v>
      </c>
      <c r="AC38" s="499">
        <f>'17 R1 INV COMP'!AA72</f>
        <v>0</v>
      </c>
      <c r="AD38" s="499">
        <f>'17 R1 INV COMP'!AB72</f>
        <v>0</v>
      </c>
      <c r="AE38" s="499">
        <f>'17 R1 INV COMP'!AC72</f>
        <v>0</v>
      </c>
      <c r="AF38" s="499">
        <f>'17 R1 INV COMP'!AD72</f>
        <v>0</v>
      </c>
      <c r="AG38" s="499">
        <f>'17 R1 INV COMP'!AE72</f>
        <v>0</v>
      </c>
      <c r="AH38" s="499">
        <f>'17 R1 INV COMP'!AF72</f>
        <v>0</v>
      </c>
      <c r="AI38" s="499">
        <f>'17 R1 INV COMP'!AG72</f>
        <v>0</v>
      </c>
      <c r="AJ38" s="499">
        <f>'17 R1 INV COMP'!AH72</f>
        <v>0</v>
      </c>
      <c r="AK38" s="499">
        <f>'17 R1 INV COMP'!AI72</f>
        <v>0</v>
      </c>
      <c r="AL38" s="499">
        <f>'17 R1 INV COMP'!AJ72</f>
        <v>0</v>
      </c>
      <c r="AM38" s="484"/>
      <c r="AN38" s="486">
        <f t="shared" si="0"/>
        <v>0</v>
      </c>
      <c r="AO38" s="484"/>
      <c r="AP38" s="484"/>
      <c r="AQ38" s="484"/>
      <c r="AR38" s="484"/>
      <c r="AS38" s="484"/>
      <c r="AT38" s="484"/>
      <c r="AU38" s="484"/>
      <c r="AV38" s="484"/>
    </row>
    <row r="39" spans="1:87" ht="23.25" thickBot="1">
      <c r="B39" s="192"/>
      <c r="C39" s="266" t="s">
        <v>459</v>
      </c>
      <c r="D39" s="198">
        <v>5</v>
      </c>
      <c r="E39" s="272" t="s">
        <v>142</v>
      </c>
      <c r="F39" s="516">
        <v>299835.72586952901</v>
      </c>
      <c r="G39" s="500">
        <f>'17 R1 INV COMP'!F74</f>
        <v>1499178.6293476452</v>
      </c>
      <c r="H39" s="500" t="e">
        <f>'17 R1 INV COMP'!#REF!</f>
        <v>#REF!</v>
      </c>
      <c r="I39" s="500">
        <f>'17 R1 INV COMP'!G74</f>
        <v>0</v>
      </c>
      <c r="J39" s="500">
        <f>'17 R1 INV COMP'!H74</f>
        <v>0</v>
      </c>
      <c r="K39" s="500">
        <f>'17 R1 INV COMP'!I74</f>
        <v>0</v>
      </c>
      <c r="L39" s="500">
        <f>'17 R1 INV COMP'!J74</f>
        <v>0</v>
      </c>
      <c r="M39" s="500">
        <f>'17 R1 INV COMP'!K74</f>
        <v>0</v>
      </c>
      <c r="N39" s="500">
        <f>'17 R1 INV COMP'!L74</f>
        <v>0</v>
      </c>
      <c r="O39" s="500">
        <f>'17 R1 INV COMP'!M74</f>
        <v>0</v>
      </c>
      <c r="P39" s="500">
        <f>'17 R1 INV COMP'!N74</f>
        <v>0</v>
      </c>
      <c r="Q39" s="500">
        <f>'17 R1 INV COMP'!O74</f>
        <v>299835.72586952901</v>
      </c>
      <c r="R39" s="500">
        <f>'17 R1 INV COMP'!P74</f>
        <v>299835.72586952901</v>
      </c>
      <c r="S39" s="500">
        <f>'17 R1 INV COMP'!Q74</f>
        <v>299835.72586952901</v>
      </c>
      <c r="T39" s="500">
        <f>'17 R1 INV COMP'!R74</f>
        <v>599671.45173905801</v>
      </c>
      <c r="U39" s="500">
        <f>'17 R1 INV COMP'!S74</f>
        <v>0</v>
      </c>
      <c r="V39" s="500">
        <f>'17 R1 INV COMP'!T74</f>
        <v>0</v>
      </c>
      <c r="W39" s="500">
        <f>'17 R1 INV COMP'!U74</f>
        <v>0</v>
      </c>
      <c r="X39" s="500">
        <f>'17 R1 INV COMP'!V74</f>
        <v>0</v>
      </c>
      <c r="Y39" s="500">
        <f>'17 R1 INV COMP'!W74</f>
        <v>0</v>
      </c>
      <c r="Z39" s="500">
        <f>'17 R1 INV COMP'!X74</f>
        <v>0</v>
      </c>
      <c r="AA39" s="500">
        <f>'17 R1 INV COMP'!Y74</f>
        <v>0</v>
      </c>
      <c r="AB39" s="500">
        <f>'17 R1 INV COMP'!Z74</f>
        <v>0</v>
      </c>
      <c r="AC39" s="500">
        <f>'17 R1 INV COMP'!AA74</f>
        <v>0</v>
      </c>
      <c r="AD39" s="500">
        <f>'17 R1 INV COMP'!AB74</f>
        <v>0</v>
      </c>
      <c r="AE39" s="500">
        <f>'17 R1 INV COMP'!AC74</f>
        <v>0</v>
      </c>
      <c r="AF39" s="500">
        <f>'17 R1 INV COMP'!AD74</f>
        <v>0</v>
      </c>
      <c r="AG39" s="500">
        <f>'17 R1 INV COMP'!AE74</f>
        <v>0</v>
      </c>
      <c r="AH39" s="500">
        <f>'17 R1 INV COMP'!AF74</f>
        <v>0</v>
      </c>
      <c r="AI39" s="500">
        <f>'17 R1 INV COMP'!AG74</f>
        <v>0</v>
      </c>
      <c r="AJ39" s="500">
        <f>'17 R1 INV COMP'!AH74</f>
        <v>0</v>
      </c>
      <c r="AK39" s="500">
        <f>'17 R1 INV COMP'!AI74</f>
        <v>0</v>
      </c>
      <c r="AL39" s="500">
        <f>'17 R1 INV COMP'!AJ74</f>
        <v>0</v>
      </c>
      <c r="AM39" s="484"/>
      <c r="AN39" s="486">
        <f t="shared" si="0"/>
        <v>0</v>
      </c>
      <c r="AO39" s="484"/>
      <c r="AP39" s="484"/>
      <c r="AQ39" s="484"/>
      <c r="AR39" s="484"/>
      <c r="AS39" s="484"/>
      <c r="AT39" s="484"/>
      <c r="AU39" s="484"/>
      <c r="AV39" s="484"/>
    </row>
    <row r="40" spans="1:87" ht="13.5" thickBot="1">
      <c r="E40" s="275"/>
      <c r="F40" s="508"/>
      <c r="G40" s="508"/>
      <c r="H40" s="508"/>
      <c r="I40" s="508"/>
      <c r="J40" s="508"/>
      <c r="K40" s="508"/>
      <c r="L40" s="508"/>
      <c r="M40" s="508"/>
      <c r="N40" s="508"/>
      <c r="O40" s="508"/>
      <c r="P40" s="508"/>
      <c r="Q40" s="508"/>
      <c r="R40" s="508"/>
      <c r="S40" s="508"/>
      <c r="T40" s="508"/>
      <c r="U40" s="508"/>
      <c r="V40" s="508"/>
      <c r="W40" s="508"/>
      <c r="X40" s="508"/>
      <c r="Y40" s="508"/>
      <c r="Z40" s="508"/>
      <c r="AA40" s="508"/>
      <c r="AB40" s="508"/>
      <c r="AC40" s="508"/>
      <c r="AD40" s="508"/>
      <c r="AE40" s="508"/>
      <c r="AF40" s="508"/>
      <c r="AG40" s="508"/>
      <c r="AH40" s="508"/>
      <c r="AI40" s="508"/>
      <c r="AJ40" s="508"/>
      <c r="AK40" s="508"/>
      <c r="AL40" s="508"/>
      <c r="AM40" s="484"/>
      <c r="AN40" s="486"/>
      <c r="AO40" s="484"/>
      <c r="AP40" s="484"/>
      <c r="AQ40" s="484"/>
      <c r="AR40" s="484"/>
      <c r="AS40" s="484"/>
      <c r="AT40" s="484"/>
      <c r="AU40" s="484"/>
      <c r="AV40" s="484"/>
    </row>
    <row r="41" spans="1:87" ht="13.5" thickBot="1">
      <c r="B41" s="357">
        <v>3</v>
      </c>
      <c r="C41" s="194" t="s">
        <v>390</v>
      </c>
      <c r="D41" s="180"/>
      <c r="E41" s="267"/>
      <c r="F41" s="509"/>
      <c r="G41" s="520">
        <f>'17 R1 INV COMP'!F77</f>
        <v>862632.65953346319</v>
      </c>
      <c r="H41" s="520" t="e">
        <f>'17 R1 INV COMP'!#REF!</f>
        <v>#REF!</v>
      </c>
      <c r="I41" s="520">
        <f>'17 R1 INV COMP'!G77</f>
        <v>87023.583369052707</v>
      </c>
      <c r="J41" s="520">
        <f>'17 R1 INV COMP'!H77</f>
        <v>43673.537443111301</v>
      </c>
      <c r="K41" s="520">
        <f>'17 R1 INV COMP'!I77</f>
        <v>85663.1968465932</v>
      </c>
      <c r="L41" s="520">
        <f>'17 R1 INV COMP'!J77</f>
        <v>478679.25959315657</v>
      </c>
      <c r="M41" s="520">
        <f>'17 R1 INV COMP'!K77</f>
        <v>6445.8877800595983</v>
      </c>
      <c r="N41" s="520">
        <f>'17 R1 INV COMP'!L77</f>
        <v>6445.8877800595983</v>
      </c>
      <c r="O41" s="520">
        <f>'17 R1 INV COMP'!M77</f>
        <v>6445.8877800595983</v>
      </c>
      <c r="P41" s="520">
        <f>'17 R1 INV COMP'!N77</f>
        <v>6445.8877800595983</v>
      </c>
      <c r="Q41" s="520">
        <f>'17 R1 INV COMP'!O77</f>
        <v>6445.8877800595983</v>
      </c>
      <c r="R41" s="520">
        <f>'17 R1 INV COMP'!P77</f>
        <v>6445.8877800595983</v>
      </c>
      <c r="S41" s="520">
        <f>'17 R1 INV COMP'!Q77</f>
        <v>6445.8877800595983</v>
      </c>
      <c r="T41" s="520">
        <f>'17 R1 INV COMP'!R77</f>
        <v>6445.8877800595983</v>
      </c>
      <c r="U41" s="520">
        <f>'17 R1 INV COMP'!S77</f>
        <v>6445.8877800595983</v>
      </c>
      <c r="V41" s="520">
        <f>'17 R1 INV COMP'!T77</f>
        <v>6445.8877800595983</v>
      </c>
      <c r="W41" s="520">
        <f>'17 R1 INV COMP'!U77</f>
        <v>6445.8877800595983</v>
      </c>
      <c r="X41" s="520">
        <f>'17 R1 INV COMP'!V77</f>
        <v>6445.8877800595983</v>
      </c>
      <c r="Y41" s="520">
        <f>'17 R1 INV COMP'!W77</f>
        <v>6445.8877800595983</v>
      </c>
      <c r="Z41" s="520">
        <f>'17 R1 INV COMP'!X77</f>
        <v>6445.8877800595983</v>
      </c>
      <c r="AA41" s="520">
        <f>'17 R1 INV COMP'!Y77</f>
        <v>6445.8877800595983</v>
      </c>
      <c r="AB41" s="520">
        <f>'17 R1 INV COMP'!Z77</f>
        <v>6445.8877800595983</v>
      </c>
      <c r="AC41" s="520">
        <f>'17 R1 INV COMP'!AA77</f>
        <v>6445.8877800595983</v>
      </c>
      <c r="AD41" s="520">
        <f>'17 R1 INV COMP'!AB77</f>
        <v>6445.8877800595983</v>
      </c>
      <c r="AE41" s="520">
        <f>'17 R1 INV COMP'!AC77</f>
        <v>6445.8877800595983</v>
      </c>
      <c r="AF41" s="520">
        <f>'17 R1 INV COMP'!AD77</f>
        <v>6445.8877800595983</v>
      </c>
      <c r="AG41" s="520">
        <f>'17 R1 INV COMP'!AE77</f>
        <v>6445.8877800595983</v>
      </c>
      <c r="AH41" s="520">
        <f>'17 R1 INV COMP'!AF77</f>
        <v>6445.8877800595983</v>
      </c>
      <c r="AI41" s="520">
        <f>'17 R1 INV COMP'!AG77</f>
        <v>6445.8877800595983</v>
      </c>
      <c r="AJ41" s="520">
        <f>'17 R1 INV COMP'!AH77</f>
        <v>6445.8877800595983</v>
      </c>
      <c r="AK41" s="520">
        <f>'17 R1 INV COMP'!AI77</f>
        <v>6445.8877800595983</v>
      </c>
      <c r="AL41" s="520">
        <f>'17 R1 INV COMP'!AJ77</f>
        <v>6445.8877800595983</v>
      </c>
      <c r="AM41" s="484"/>
      <c r="AN41" s="486">
        <f t="shared" si="0"/>
        <v>0</v>
      </c>
      <c r="AO41" s="484"/>
      <c r="AP41" s="484"/>
      <c r="AQ41" s="484"/>
      <c r="AR41" s="484"/>
      <c r="AS41" s="484"/>
      <c r="AT41" s="484"/>
      <c r="AU41" s="484"/>
      <c r="AV41" s="484"/>
    </row>
    <row r="42" spans="1:87" ht="13.5" thickBot="1">
      <c r="A42" s="882"/>
      <c r="B42" s="793" t="s">
        <v>158</v>
      </c>
      <c r="C42" s="794" t="s">
        <v>159</v>
      </c>
      <c r="D42" s="795"/>
      <c r="E42" s="796"/>
      <c r="F42" s="797"/>
      <c r="G42" s="798">
        <f>'17 R1 INV COMP'!F79</f>
        <v>862632.65953346319</v>
      </c>
      <c r="H42" s="798" t="e">
        <f>'17 R1 INV COMP'!#REF!</f>
        <v>#REF!</v>
      </c>
      <c r="I42" s="798">
        <f>'17 R1 INV COMP'!G79</f>
        <v>87023.583369052707</v>
      </c>
      <c r="J42" s="798">
        <f>'17 R1 INV COMP'!H79</f>
        <v>43673.537443111301</v>
      </c>
      <c r="K42" s="798">
        <f>'17 R1 INV COMP'!I79</f>
        <v>85663.1968465932</v>
      </c>
      <c r="L42" s="798">
        <f>'17 R1 INV COMP'!J79</f>
        <v>478679.25959315657</v>
      </c>
      <c r="M42" s="798">
        <f>'17 R1 INV COMP'!K79</f>
        <v>6445.8877800595983</v>
      </c>
      <c r="N42" s="798">
        <f>'17 R1 INV COMP'!L79</f>
        <v>6445.8877800595983</v>
      </c>
      <c r="O42" s="798">
        <f>'17 R1 INV COMP'!M79</f>
        <v>6445.8877800595983</v>
      </c>
      <c r="P42" s="798">
        <f>'17 R1 INV COMP'!N79</f>
        <v>6445.8877800595983</v>
      </c>
      <c r="Q42" s="798">
        <f>'17 R1 INV COMP'!O79</f>
        <v>6445.8877800595983</v>
      </c>
      <c r="R42" s="798">
        <f>'17 R1 INV COMP'!P79</f>
        <v>6445.8877800595983</v>
      </c>
      <c r="S42" s="798">
        <f>'17 R1 INV COMP'!Q79</f>
        <v>6445.8877800595983</v>
      </c>
      <c r="T42" s="798">
        <f>'17 R1 INV COMP'!R79</f>
        <v>6445.8877800595983</v>
      </c>
      <c r="U42" s="798">
        <f>'17 R1 INV COMP'!S79</f>
        <v>6445.8877800595983</v>
      </c>
      <c r="V42" s="798">
        <f>'17 R1 INV COMP'!T79</f>
        <v>6445.8877800595983</v>
      </c>
      <c r="W42" s="798">
        <f>'17 R1 INV COMP'!U79</f>
        <v>6445.8877800595983</v>
      </c>
      <c r="X42" s="798">
        <f>'17 R1 INV COMP'!V79</f>
        <v>6445.8877800595983</v>
      </c>
      <c r="Y42" s="798">
        <f>'17 R1 INV COMP'!W79</f>
        <v>6445.8877800595983</v>
      </c>
      <c r="Z42" s="798">
        <f>'17 R1 INV COMP'!X79</f>
        <v>6445.8877800595983</v>
      </c>
      <c r="AA42" s="798">
        <f>'17 R1 INV COMP'!Y79</f>
        <v>6445.8877800595983</v>
      </c>
      <c r="AB42" s="798">
        <f>'17 R1 INV COMP'!Z79</f>
        <v>6445.8877800595983</v>
      </c>
      <c r="AC42" s="798">
        <f>'17 R1 INV COMP'!AA79</f>
        <v>6445.8877800595983</v>
      </c>
      <c r="AD42" s="798">
        <f>'17 R1 INV COMP'!AB79</f>
        <v>6445.8877800595983</v>
      </c>
      <c r="AE42" s="798">
        <f>'17 R1 INV COMP'!AC79</f>
        <v>6445.8877800595983</v>
      </c>
      <c r="AF42" s="798">
        <f>'17 R1 INV COMP'!AD79</f>
        <v>6445.8877800595983</v>
      </c>
      <c r="AG42" s="798">
        <f>'17 R1 INV COMP'!AE79</f>
        <v>6445.8877800595983</v>
      </c>
      <c r="AH42" s="798">
        <f>'17 R1 INV COMP'!AF79</f>
        <v>6445.8877800595983</v>
      </c>
      <c r="AI42" s="798">
        <f>'17 R1 INV COMP'!AG79</f>
        <v>6445.8877800595983</v>
      </c>
      <c r="AJ42" s="798">
        <f>'17 R1 INV COMP'!AH79</f>
        <v>6445.8877800595983</v>
      </c>
      <c r="AK42" s="798">
        <f>'17 R1 INV COMP'!AI79</f>
        <v>6445.8877800595983</v>
      </c>
      <c r="AL42" s="798">
        <f>'17 R1 INV COMP'!AJ79</f>
        <v>6445.8877800595983</v>
      </c>
      <c r="AM42" s="485"/>
      <c r="AN42" s="486">
        <f t="shared" si="0"/>
        <v>0</v>
      </c>
      <c r="AO42" s="485"/>
      <c r="AP42" s="485"/>
      <c r="AQ42" s="485"/>
      <c r="AR42" s="485"/>
      <c r="AS42" s="485"/>
      <c r="AT42" s="485"/>
      <c r="AU42" s="485"/>
      <c r="AV42" s="485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</row>
    <row r="43" spans="1:87">
      <c r="B43" s="185"/>
      <c r="C43" s="273" t="s">
        <v>270</v>
      </c>
      <c r="D43" s="199">
        <v>6200</v>
      </c>
      <c r="E43" s="255" t="s">
        <v>142</v>
      </c>
      <c r="F43" s="517">
        <v>60.954164350464545</v>
      </c>
      <c r="G43" s="498">
        <f>'17 R1 INV COMP'!F81</f>
        <v>377915.81897288014</v>
      </c>
      <c r="H43" s="498" t="e">
        <f>'17 R1 INV COMP'!#REF!</f>
        <v>#REF!</v>
      </c>
      <c r="I43" s="498">
        <f>'17 R1 INV COMP'!G81</f>
        <v>87023.583369052707</v>
      </c>
      <c r="J43" s="498">
        <f>'17 R1 INV COMP'!H81</f>
        <v>43673.537443111301</v>
      </c>
      <c r="K43" s="498">
        <f>'17 R1 INV COMP'!I81</f>
        <v>73179.728099107073</v>
      </c>
      <c r="L43" s="498">
        <f>'17 R1 INV COMP'!J81</f>
        <v>6445.8877800595983</v>
      </c>
      <c r="M43" s="498">
        <f>'17 R1 INV COMP'!K81</f>
        <v>6445.8877800595983</v>
      </c>
      <c r="N43" s="498">
        <f>'17 R1 INV COMP'!L81</f>
        <v>6445.8877800595983</v>
      </c>
      <c r="O43" s="498">
        <f>'17 R1 INV COMP'!M81</f>
        <v>6445.8877800595983</v>
      </c>
      <c r="P43" s="498">
        <f>'17 R1 INV COMP'!N81</f>
        <v>6445.8877800595983</v>
      </c>
      <c r="Q43" s="498">
        <f>'17 R1 INV COMP'!O81</f>
        <v>6445.8877800595983</v>
      </c>
      <c r="R43" s="498">
        <f>'17 R1 INV COMP'!P81</f>
        <v>6445.8877800595983</v>
      </c>
      <c r="S43" s="498">
        <f>'17 R1 INV COMP'!Q81</f>
        <v>6445.8877800595983</v>
      </c>
      <c r="T43" s="498">
        <f>'17 R1 INV COMP'!R81</f>
        <v>6445.8877800595983</v>
      </c>
      <c r="U43" s="498">
        <f>'17 R1 INV COMP'!S81</f>
        <v>6445.8877800595983</v>
      </c>
      <c r="V43" s="498">
        <f>'17 R1 INV COMP'!T81</f>
        <v>6445.8877800595983</v>
      </c>
      <c r="W43" s="498">
        <f>'17 R1 INV COMP'!U81</f>
        <v>6445.8877800595983</v>
      </c>
      <c r="X43" s="498">
        <f>'17 R1 INV COMP'!V81</f>
        <v>6445.8877800595983</v>
      </c>
      <c r="Y43" s="498">
        <f>'17 R1 INV COMP'!W81</f>
        <v>6445.8877800595983</v>
      </c>
      <c r="Z43" s="498">
        <f>'17 R1 INV COMP'!X81</f>
        <v>6445.8877800595983</v>
      </c>
      <c r="AA43" s="498">
        <f>'17 R1 INV COMP'!Y81</f>
        <v>6445.8877800595983</v>
      </c>
      <c r="AB43" s="498">
        <f>'17 R1 INV COMP'!Z81</f>
        <v>6445.8877800595983</v>
      </c>
      <c r="AC43" s="498">
        <f>'17 R1 INV COMP'!AA81</f>
        <v>6445.8877800595983</v>
      </c>
      <c r="AD43" s="498">
        <f>'17 R1 INV COMP'!AB81</f>
        <v>6445.8877800595983</v>
      </c>
      <c r="AE43" s="498">
        <f>'17 R1 INV COMP'!AC81</f>
        <v>6445.8877800595983</v>
      </c>
      <c r="AF43" s="498">
        <f>'17 R1 INV COMP'!AD81</f>
        <v>6445.8877800595983</v>
      </c>
      <c r="AG43" s="498">
        <f>'17 R1 INV COMP'!AE81</f>
        <v>6445.8877800595983</v>
      </c>
      <c r="AH43" s="498">
        <f>'17 R1 INV COMP'!AF81</f>
        <v>6445.8877800595983</v>
      </c>
      <c r="AI43" s="498">
        <f>'17 R1 INV COMP'!AG81</f>
        <v>6445.8877800595983</v>
      </c>
      <c r="AJ43" s="498">
        <f>'17 R1 INV COMP'!AH81</f>
        <v>6445.8877800595983</v>
      </c>
      <c r="AK43" s="498">
        <f>'17 R1 INV COMP'!AI81</f>
        <v>6445.8877800595983</v>
      </c>
      <c r="AL43" s="498">
        <f>'17 R1 INV COMP'!AJ81</f>
        <v>6445.8877800595983</v>
      </c>
      <c r="AM43" s="484"/>
      <c r="AN43" s="486">
        <f t="shared" si="0"/>
        <v>0</v>
      </c>
      <c r="AO43" s="484"/>
      <c r="AP43" s="484"/>
      <c r="AQ43" s="484"/>
      <c r="AR43" s="484"/>
      <c r="AS43" s="484"/>
      <c r="AT43" s="484"/>
      <c r="AU43" s="484"/>
      <c r="AV43" s="484"/>
    </row>
    <row r="44" spans="1:87">
      <c r="B44" s="185"/>
      <c r="C44" s="265" t="s">
        <v>255</v>
      </c>
      <c r="D44" s="269">
        <f>G44/F44</f>
        <v>4763</v>
      </c>
      <c r="E44" s="253" t="s">
        <v>254</v>
      </c>
      <c r="F44" s="515">
        <v>101.76713007780455</v>
      </c>
      <c r="G44" s="499">
        <f>'17 R1 INV COMP'!F83</f>
        <v>484716.84056058311</v>
      </c>
      <c r="H44" s="499" t="e">
        <f>'17 R1 INV COMP'!#REF!</f>
        <v>#REF!</v>
      </c>
      <c r="I44" s="499">
        <f>'17 R1 INV COMP'!G83</f>
        <v>0</v>
      </c>
      <c r="J44" s="499">
        <f>'17 R1 INV COMP'!H83</f>
        <v>0</v>
      </c>
      <c r="K44" s="499">
        <f>'17 R1 INV COMP'!I83</f>
        <v>12483.468747486124</v>
      </c>
      <c r="L44" s="499">
        <f>'17 R1 INV COMP'!J83</f>
        <v>472233.37181309698</v>
      </c>
      <c r="M44" s="499">
        <f>'17 R1 INV COMP'!K83</f>
        <v>0</v>
      </c>
      <c r="N44" s="499">
        <f>'17 R1 INV COMP'!L83</f>
        <v>0</v>
      </c>
      <c r="O44" s="499">
        <f>'17 R1 INV COMP'!M83</f>
        <v>0</v>
      </c>
      <c r="P44" s="499">
        <f>'17 R1 INV COMP'!N83</f>
        <v>0</v>
      </c>
      <c r="Q44" s="499">
        <f>'17 R1 INV COMP'!O83</f>
        <v>0</v>
      </c>
      <c r="R44" s="499">
        <f>'17 R1 INV COMP'!P83</f>
        <v>0</v>
      </c>
      <c r="S44" s="499">
        <f>'17 R1 INV COMP'!Q83</f>
        <v>0</v>
      </c>
      <c r="T44" s="499">
        <f>'17 R1 INV COMP'!R83</f>
        <v>0</v>
      </c>
      <c r="U44" s="499">
        <f>'17 R1 INV COMP'!S83</f>
        <v>0</v>
      </c>
      <c r="V44" s="499">
        <f>'17 R1 INV COMP'!T83</f>
        <v>0</v>
      </c>
      <c r="W44" s="499">
        <f>'17 R1 INV COMP'!U83</f>
        <v>0</v>
      </c>
      <c r="X44" s="499">
        <f>'17 R1 INV COMP'!V83</f>
        <v>0</v>
      </c>
      <c r="Y44" s="499">
        <f>'17 R1 INV COMP'!W83</f>
        <v>0</v>
      </c>
      <c r="Z44" s="499">
        <f>'17 R1 INV COMP'!X83</f>
        <v>0</v>
      </c>
      <c r="AA44" s="499">
        <f>'17 R1 INV COMP'!Y83</f>
        <v>0</v>
      </c>
      <c r="AB44" s="499">
        <f>'17 R1 INV COMP'!Z83</f>
        <v>0</v>
      </c>
      <c r="AC44" s="499">
        <f>'17 R1 INV COMP'!AA83</f>
        <v>0</v>
      </c>
      <c r="AD44" s="499">
        <f>'17 R1 INV COMP'!AB83</f>
        <v>0</v>
      </c>
      <c r="AE44" s="499">
        <f>'17 R1 INV COMP'!AC83</f>
        <v>0</v>
      </c>
      <c r="AF44" s="499">
        <f>'17 R1 INV COMP'!AD83</f>
        <v>0</v>
      </c>
      <c r="AG44" s="499">
        <f>'17 R1 INV COMP'!AE83</f>
        <v>0</v>
      </c>
      <c r="AH44" s="499">
        <f>'17 R1 INV COMP'!AF83</f>
        <v>0</v>
      </c>
      <c r="AI44" s="499">
        <f>'17 R1 INV COMP'!AG83</f>
        <v>0</v>
      </c>
      <c r="AJ44" s="499">
        <f>'17 R1 INV COMP'!AH83</f>
        <v>0</v>
      </c>
      <c r="AK44" s="499">
        <f>'17 R1 INV COMP'!AI83</f>
        <v>0</v>
      </c>
      <c r="AL44" s="499">
        <f>'17 R1 INV COMP'!AJ83</f>
        <v>0</v>
      </c>
      <c r="AM44" s="484"/>
      <c r="AN44" s="486">
        <f t="shared" si="0"/>
        <v>0</v>
      </c>
      <c r="AO44" s="484"/>
      <c r="AP44" s="484"/>
      <c r="AQ44" s="484"/>
      <c r="AR44" s="484"/>
      <c r="AS44" s="484"/>
      <c r="AT44" s="484"/>
      <c r="AU44" s="484"/>
      <c r="AV44" s="484"/>
    </row>
    <row r="45" spans="1:87" ht="13.5" thickBot="1">
      <c r="B45" s="186"/>
      <c r="C45" s="187"/>
      <c r="D45" s="198"/>
      <c r="E45" s="272"/>
      <c r="F45" s="518"/>
      <c r="G45" s="522"/>
      <c r="H45" s="522"/>
      <c r="I45" s="522"/>
      <c r="J45" s="522"/>
      <c r="K45" s="522"/>
      <c r="L45" s="522"/>
      <c r="M45" s="522"/>
      <c r="N45" s="522"/>
      <c r="O45" s="522"/>
      <c r="P45" s="522"/>
      <c r="Q45" s="522"/>
      <c r="R45" s="522"/>
      <c r="S45" s="522"/>
      <c r="T45" s="522"/>
      <c r="U45" s="522"/>
      <c r="V45" s="522"/>
      <c r="W45" s="522"/>
      <c r="X45" s="522"/>
      <c r="Y45" s="522"/>
      <c r="Z45" s="522"/>
      <c r="AA45" s="522"/>
      <c r="AB45" s="522"/>
      <c r="AC45" s="522"/>
      <c r="AD45" s="522"/>
      <c r="AE45" s="522"/>
      <c r="AF45" s="522"/>
      <c r="AG45" s="522"/>
      <c r="AH45" s="522"/>
      <c r="AI45" s="522"/>
      <c r="AJ45" s="522"/>
      <c r="AK45" s="522"/>
      <c r="AL45" s="522"/>
      <c r="AM45" s="484"/>
      <c r="AN45" s="486">
        <f t="shared" si="0"/>
        <v>0</v>
      </c>
      <c r="AO45" s="484"/>
      <c r="AP45" s="484"/>
      <c r="AQ45" s="484"/>
      <c r="AR45" s="484"/>
      <c r="AS45" s="484"/>
      <c r="AT45" s="484"/>
      <c r="AU45" s="484"/>
      <c r="AV45" s="484"/>
    </row>
    <row r="46" spans="1:87" ht="13.5" thickBot="1">
      <c r="E46" s="275"/>
      <c r="F46" s="483"/>
      <c r="G46" s="508"/>
      <c r="H46" s="508"/>
      <c r="I46" s="508"/>
      <c r="J46" s="508"/>
      <c r="K46" s="508"/>
      <c r="L46" s="508"/>
      <c r="M46" s="508"/>
      <c r="N46" s="508"/>
      <c r="O46" s="508"/>
      <c r="P46" s="508"/>
      <c r="Q46" s="508"/>
      <c r="R46" s="508"/>
      <c r="S46" s="508"/>
      <c r="T46" s="508"/>
      <c r="U46" s="508"/>
      <c r="V46" s="508"/>
      <c r="W46" s="508"/>
      <c r="X46" s="508"/>
      <c r="Y46" s="508"/>
      <c r="Z46" s="508"/>
      <c r="AA46" s="508"/>
      <c r="AB46" s="508"/>
      <c r="AC46" s="508"/>
      <c r="AD46" s="508"/>
      <c r="AE46" s="508"/>
      <c r="AF46" s="508"/>
      <c r="AG46" s="508"/>
      <c r="AH46" s="508"/>
      <c r="AI46" s="508"/>
      <c r="AJ46" s="508"/>
      <c r="AK46" s="508"/>
      <c r="AL46" s="508"/>
      <c r="AM46" s="484"/>
      <c r="AN46" s="486">
        <f t="shared" si="0"/>
        <v>0</v>
      </c>
      <c r="AO46" s="484"/>
      <c r="AP46" s="484"/>
      <c r="AQ46" s="484"/>
      <c r="AR46" s="484"/>
      <c r="AS46" s="484"/>
      <c r="AT46" s="484"/>
      <c r="AU46" s="484"/>
      <c r="AV46" s="484"/>
    </row>
    <row r="47" spans="1:87" ht="13.5" hidden="1" thickBot="1">
      <c r="A47" s="882"/>
      <c r="B47" s="799" t="s">
        <v>160</v>
      </c>
      <c r="C47" s="460" t="s">
        <v>161</v>
      </c>
      <c r="D47" s="461"/>
      <c r="E47" s="462"/>
      <c r="F47" s="800"/>
      <c r="G47" s="521">
        <f>SUM(G48:G50)</f>
        <v>0</v>
      </c>
      <c r="H47" s="521">
        <f t="shared" ref="H47:AL47" si="2">SUM(H48:H50)</f>
        <v>0</v>
      </c>
      <c r="I47" s="521">
        <f t="shared" si="2"/>
        <v>0</v>
      </c>
      <c r="J47" s="521">
        <f t="shared" si="2"/>
        <v>0</v>
      </c>
      <c r="K47" s="521">
        <f t="shared" si="2"/>
        <v>0</v>
      </c>
      <c r="L47" s="521">
        <f t="shared" si="2"/>
        <v>0</v>
      </c>
      <c r="M47" s="521">
        <f t="shared" si="2"/>
        <v>0</v>
      </c>
      <c r="N47" s="521">
        <f t="shared" si="2"/>
        <v>0</v>
      </c>
      <c r="O47" s="521">
        <f t="shared" si="2"/>
        <v>0</v>
      </c>
      <c r="P47" s="521">
        <f t="shared" si="2"/>
        <v>0</v>
      </c>
      <c r="Q47" s="521">
        <f t="shared" si="2"/>
        <v>0</v>
      </c>
      <c r="R47" s="521">
        <f t="shared" si="2"/>
        <v>0</v>
      </c>
      <c r="S47" s="521">
        <f t="shared" si="2"/>
        <v>0</v>
      </c>
      <c r="T47" s="521">
        <f t="shared" si="2"/>
        <v>0</v>
      </c>
      <c r="U47" s="521">
        <f t="shared" si="2"/>
        <v>0</v>
      </c>
      <c r="V47" s="521">
        <f t="shared" si="2"/>
        <v>0</v>
      </c>
      <c r="W47" s="521">
        <f t="shared" si="2"/>
        <v>0</v>
      </c>
      <c r="X47" s="521">
        <f t="shared" si="2"/>
        <v>0</v>
      </c>
      <c r="Y47" s="521">
        <f t="shared" si="2"/>
        <v>0</v>
      </c>
      <c r="Z47" s="521">
        <f t="shared" si="2"/>
        <v>0</v>
      </c>
      <c r="AA47" s="521">
        <f t="shared" si="2"/>
        <v>0</v>
      </c>
      <c r="AB47" s="521">
        <f t="shared" si="2"/>
        <v>0</v>
      </c>
      <c r="AC47" s="521">
        <f t="shared" si="2"/>
        <v>0</v>
      </c>
      <c r="AD47" s="521">
        <f t="shared" si="2"/>
        <v>0</v>
      </c>
      <c r="AE47" s="521">
        <f t="shared" si="2"/>
        <v>0</v>
      </c>
      <c r="AF47" s="521">
        <f t="shared" si="2"/>
        <v>0</v>
      </c>
      <c r="AG47" s="521">
        <f t="shared" si="2"/>
        <v>0</v>
      </c>
      <c r="AH47" s="521">
        <f t="shared" si="2"/>
        <v>0</v>
      </c>
      <c r="AI47" s="521">
        <f t="shared" si="2"/>
        <v>0</v>
      </c>
      <c r="AJ47" s="521">
        <f t="shared" si="2"/>
        <v>0</v>
      </c>
      <c r="AK47" s="521">
        <f t="shared" si="2"/>
        <v>0</v>
      </c>
      <c r="AL47" s="521">
        <f t="shared" si="2"/>
        <v>0</v>
      </c>
      <c r="AM47" s="485"/>
      <c r="AN47" s="486">
        <f t="shared" si="0"/>
        <v>0</v>
      </c>
      <c r="AO47" s="485"/>
      <c r="AP47" s="485"/>
      <c r="AQ47" s="485"/>
      <c r="AR47" s="485"/>
      <c r="AS47" s="485"/>
      <c r="AT47" s="485"/>
      <c r="AU47" s="485"/>
      <c r="AV47" s="485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3"/>
      <c r="CF47" s="173"/>
      <c r="CG47" s="173"/>
      <c r="CH47" s="173"/>
      <c r="CI47" s="173"/>
    </row>
    <row r="48" spans="1:87" ht="14.25" hidden="1" thickTop="1" thickBot="1">
      <c r="B48" s="195"/>
      <c r="C48" s="196"/>
      <c r="D48" s="190"/>
      <c r="E48" s="274"/>
      <c r="F48" s="494"/>
      <c r="G48" s="498"/>
      <c r="H48" s="498"/>
      <c r="I48" s="498"/>
      <c r="J48" s="498"/>
      <c r="K48" s="498"/>
      <c r="L48" s="498"/>
      <c r="M48" s="498"/>
      <c r="N48" s="498"/>
      <c r="O48" s="498"/>
      <c r="P48" s="498"/>
      <c r="Q48" s="498"/>
      <c r="R48" s="498"/>
      <c r="S48" s="498"/>
      <c r="T48" s="498"/>
      <c r="U48" s="498"/>
      <c r="V48" s="498"/>
      <c r="W48" s="498"/>
      <c r="X48" s="498"/>
      <c r="Y48" s="498"/>
      <c r="Z48" s="498"/>
      <c r="AA48" s="498"/>
      <c r="AB48" s="498"/>
      <c r="AC48" s="498"/>
      <c r="AD48" s="498"/>
      <c r="AE48" s="498"/>
      <c r="AF48" s="498"/>
      <c r="AG48" s="498"/>
      <c r="AH48" s="498"/>
      <c r="AI48" s="498"/>
      <c r="AJ48" s="498"/>
      <c r="AK48" s="498"/>
      <c r="AL48" s="498"/>
      <c r="AM48" s="484"/>
      <c r="AN48" s="486">
        <f t="shared" si="0"/>
        <v>0</v>
      </c>
      <c r="AO48" s="484"/>
      <c r="AP48" s="484"/>
      <c r="AQ48" s="484"/>
      <c r="AR48" s="484"/>
      <c r="AS48" s="484"/>
      <c r="AT48" s="484"/>
      <c r="AU48" s="484"/>
      <c r="AV48" s="484"/>
    </row>
    <row r="49" spans="1:87" ht="13.5" hidden="1" thickBot="1">
      <c r="B49" s="185"/>
      <c r="C49" s="196"/>
      <c r="D49" s="191"/>
      <c r="E49" s="256"/>
      <c r="F49" s="495"/>
      <c r="G49" s="501"/>
      <c r="H49" s="501"/>
      <c r="I49" s="501"/>
      <c r="J49" s="501"/>
      <c r="K49" s="501"/>
      <c r="L49" s="501"/>
      <c r="M49" s="501"/>
      <c r="N49" s="501"/>
      <c r="O49" s="501"/>
      <c r="P49" s="501"/>
      <c r="Q49" s="501"/>
      <c r="R49" s="501"/>
      <c r="S49" s="501"/>
      <c r="T49" s="501"/>
      <c r="U49" s="501"/>
      <c r="V49" s="501"/>
      <c r="W49" s="501"/>
      <c r="X49" s="501"/>
      <c r="Y49" s="501"/>
      <c r="Z49" s="501"/>
      <c r="AA49" s="501"/>
      <c r="AB49" s="501"/>
      <c r="AC49" s="501"/>
      <c r="AD49" s="501"/>
      <c r="AE49" s="501"/>
      <c r="AF49" s="501"/>
      <c r="AG49" s="501"/>
      <c r="AH49" s="501"/>
      <c r="AI49" s="501"/>
      <c r="AJ49" s="501"/>
      <c r="AK49" s="501"/>
      <c r="AL49" s="501"/>
      <c r="AM49" s="484"/>
      <c r="AN49" s="486">
        <f t="shared" si="0"/>
        <v>0</v>
      </c>
      <c r="AO49" s="484"/>
      <c r="AP49" s="484"/>
      <c r="AQ49" s="484"/>
      <c r="AR49" s="484"/>
      <c r="AS49" s="484"/>
      <c r="AT49" s="484"/>
      <c r="AU49" s="484"/>
      <c r="AV49" s="484"/>
    </row>
    <row r="50" spans="1:87" ht="13.5" hidden="1" thickBot="1">
      <c r="B50" s="192"/>
      <c r="C50" s="197"/>
      <c r="D50" s="188"/>
      <c r="E50" s="272"/>
      <c r="F50" s="492"/>
      <c r="G50" s="496"/>
      <c r="H50" s="496"/>
      <c r="I50" s="496"/>
      <c r="J50" s="496"/>
      <c r="K50" s="496"/>
      <c r="L50" s="496"/>
      <c r="M50" s="496"/>
      <c r="N50" s="496"/>
      <c r="O50" s="496"/>
      <c r="P50" s="496"/>
      <c r="Q50" s="496"/>
      <c r="R50" s="496"/>
      <c r="S50" s="496"/>
      <c r="T50" s="496"/>
      <c r="U50" s="496"/>
      <c r="V50" s="496"/>
      <c r="W50" s="496"/>
      <c r="X50" s="496"/>
      <c r="Y50" s="496"/>
      <c r="Z50" s="496"/>
      <c r="AA50" s="496"/>
      <c r="AB50" s="496"/>
      <c r="AC50" s="496"/>
      <c r="AD50" s="496"/>
      <c r="AE50" s="496"/>
      <c r="AF50" s="496"/>
      <c r="AG50" s="496"/>
      <c r="AH50" s="496"/>
      <c r="AI50" s="496"/>
      <c r="AJ50" s="496"/>
      <c r="AK50" s="496"/>
      <c r="AL50" s="496"/>
      <c r="AM50" s="484"/>
      <c r="AN50" s="486">
        <f t="shared" si="0"/>
        <v>0</v>
      </c>
      <c r="AO50" s="484"/>
      <c r="AP50" s="484"/>
      <c r="AQ50" s="484"/>
      <c r="AR50" s="484"/>
      <c r="AS50" s="484"/>
      <c r="AT50" s="484"/>
      <c r="AU50" s="484"/>
      <c r="AV50" s="484"/>
    </row>
    <row r="51" spans="1:87" ht="13.5" hidden="1" thickBot="1">
      <c r="E51" s="275"/>
      <c r="F51" s="483"/>
      <c r="G51" s="508"/>
      <c r="H51" s="508"/>
      <c r="I51" s="508"/>
      <c r="J51" s="508"/>
      <c r="K51" s="508"/>
      <c r="L51" s="508"/>
      <c r="M51" s="508"/>
      <c r="N51" s="508"/>
      <c r="O51" s="508"/>
      <c r="P51" s="508"/>
      <c r="Q51" s="508"/>
      <c r="R51" s="508"/>
      <c r="S51" s="508"/>
      <c r="T51" s="508"/>
      <c r="U51" s="508"/>
      <c r="V51" s="508"/>
      <c r="W51" s="508"/>
      <c r="X51" s="508"/>
      <c r="Y51" s="508"/>
      <c r="Z51" s="508"/>
      <c r="AA51" s="508"/>
      <c r="AB51" s="508"/>
      <c r="AC51" s="508"/>
      <c r="AD51" s="508"/>
      <c r="AE51" s="508"/>
      <c r="AF51" s="508"/>
      <c r="AG51" s="508"/>
      <c r="AH51" s="508"/>
      <c r="AI51" s="508"/>
      <c r="AJ51" s="508"/>
      <c r="AK51" s="508"/>
      <c r="AL51" s="508"/>
      <c r="AM51" s="484"/>
      <c r="AN51" s="486">
        <f t="shared" si="0"/>
        <v>0</v>
      </c>
      <c r="AO51" s="484"/>
      <c r="AP51" s="484"/>
      <c r="AQ51" s="484"/>
      <c r="AR51" s="484"/>
      <c r="AS51" s="484"/>
      <c r="AT51" s="484"/>
      <c r="AU51" s="484"/>
      <c r="AV51" s="484"/>
    </row>
    <row r="52" spans="1:87" ht="13.5" hidden="1" thickBot="1">
      <c r="A52" s="882"/>
      <c r="B52" s="783" t="s">
        <v>162</v>
      </c>
      <c r="C52" s="801" t="s">
        <v>163</v>
      </c>
      <c r="D52" s="461"/>
      <c r="E52" s="462"/>
      <c r="F52" s="800"/>
      <c r="G52" s="521">
        <f>SUM(G53:G56)</f>
        <v>0</v>
      </c>
      <c r="H52" s="521">
        <f t="shared" ref="H52:AL52" si="3">SUM(H53:H56)</f>
        <v>0</v>
      </c>
      <c r="I52" s="521">
        <f t="shared" si="3"/>
        <v>0</v>
      </c>
      <c r="J52" s="521">
        <f t="shared" si="3"/>
        <v>0</v>
      </c>
      <c r="K52" s="521">
        <f t="shared" si="3"/>
        <v>0</v>
      </c>
      <c r="L52" s="521">
        <f t="shared" si="3"/>
        <v>0</v>
      </c>
      <c r="M52" s="521">
        <f t="shared" si="3"/>
        <v>0</v>
      </c>
      <c r="N52" s="521">
        <f t="shared" si="3"/>
        <v>0</v>
      </c>
      <c r="O52" s="521">
        <f t="shared" si="3"/>
        <v>0</v>
      </c>
      <c r="P52" s="521">
        <f t="shared" si="3"/>
        <v>0</v>
      </c>
      <c r="Q52" s="521">
        <f t="shared" si="3"/>
        <v>0</v>
      </c>
      <c r="R52" s="521">
        <f t="shared" si="3"/>
        <v>0</v>
      </c>
      <c r="S52" s="521">
        <f t="shared" si="3"/>
        <v>0</v>
      </c>
      <c r="T52" s="521">
        <f t="shared" si="3"/>
        <v>0</v>
      </c>
      <c r="U52" s="521">
        <f t="shared" si="3"/>
        <v>0</v>
      </c>
      <c r="V52" s="521">
        <f t="shared" si="3"/>
        <v>0</v>
      </c>
      <c r="W52" s="521">
        <f t="shared" si="3"/>
        <v>0</v>
      </c>
      <c r="X52" s="521">
        <f t="shared" si="3"/>
        <v>0</v>
      </c>
      <c r="Y52" s="521">
        <f t="shared" si="3"/>
        <v>0</v>
      </c>
      <c r="Z52" s="521">
        <f t="shared" si="3"/>
        <v>0</v>
      </c>
      <c r="AA52" s="521">
        <f t="shared" si="3"/>
        <v>0</v>
      </c>
      <c r="AB52" s="521">
        <f t="shared" si="3"/>
        <v>0</v>
      </c>
      <c r="AC52" s="521">
        <f t="shared" si="3"/>
        <v>0</v>
      </c>
      <c r="AD52" s="521">
        <f t="shared" si="3"/>
        <v>0</v>
      </c>
      <c r="AE52" s="521">
        <f t="shared" si="3"/>
        <v>0</v>
      </c>
      <c r="AF52" s="521">
        <f t="shared" si="3"/>
        <v>0</v>
      </c>
      <c r="AG52" s="521">
        <f t="shared" si="3"/>
        <v>0</v>
      </c>
      <c r="AH52" s="521">
        <f t="shared" si="3"/>
        <v>0</v>
      </c>
      <c r="AI52" s="521">
        <f t="shared" si="3"/>
        <v>0</v>
      </c>
      <c r="AJ52" s="521">
        <f t="shared" si="3"/>
        <v>0</v>
      </c>
      <c r="AK52" s="521">
        <f t="shared" si="3"/>
        <v>0</v>
      </c>
      <c r="AL52" s="521">
        <f t="shared" si="3"/>
        <v>0</v>
      </c>
      <c r="AM52" s="485"/>
      <c r="AN52" s="486">
        <f t="shared" si="0"/>
        <v>0</v>
      </c>
      <c r="AO52" s="485"/>
      <c r="AP52" s="485"/>
      <c r="AQ52" s="485"/>
      <c r="AR52" s="485"/>
      <c r="AS52" s="485"/>
      <c r="AT52" s="485"/>
      <c r="AU52" s="485"/>
      <c r="AV52" s="485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R52" s="173"/>
      <c r="BS52" s="173"/>
      <c r="BT52" s="173"/>
      <c r="BU52" s="173"/>
      <c r="BV52" s="173"/>
      <c r="BW52" s="173"/>
      <c r="BX52" s="173"/>
      <c r="BY52" s="173"/>
      <c r="BZ52" s="173"/>
      <c r="CA52" s="173"/>
      <c r="CB52" s="173"/>
      <c r="CC52" s="173"/>
      <c r="CD52" s="173"/>
      <c r="CE52" s="173"/>
      <c r="CF52" s="173"/>
      <c r="CG52" s="173"/>
      <c r="CH52" s="173"/>
      <c r="CI52" s="173"/>
    </row>
    <row r="53" spans="1:87" ht="13.5" hidden="1" thickBot="1">
      <c r="B53" s="185"/>
      <c r="C53" s="189"/>
      <c r="D53" s="190"/>
      <c r="E53" s="255"/>
      <c r="F53" s="494"/>
      <c r="G53" s="498"/>
      <c r="H53" s="498"/>
      <c r="I53" s="498"/>
      <c r="J53" s="498"/>
      <c r="K53" s="498"/>
      <c r="L53" s="498"/>
      <c r="M53" s="498"/>
      <c r="N53" s="498"/>
      <c r="O53" s="498"/>
      <c r="P53" s="498"/>
      <c r="Q53" s="498"/>
      <c r="R53" s="498"/>
      <c r="S53" s="498"/>
      <c r="T53" s="498"/>
      <c r="U53" s="498"/>
      <c r="V53" s="498"/>
      <c r="W53" s="498"/>
      <c r="X53" s="498"/>
      <c r="Y53" s="498"/>
      <c r="Z53" s="498"/>
      <c r="AA53" s="498"/>
      <c r="AB53" s="498"/>
      <c r="AC53" s="498"/>
      <c r="AD53" s="498"/>
      <c r="AE53" s="498"/>
      <c r="AF53" s="498"/>
      <c r="AG53" s="498"/>
      <c r="AH53" s="498"/>
      <c r="AI53" s="498"/>
      <c r="AJ53" s="498"/>
      <c r="AK53" s="498"/>
      <c r="AL53" s="498"/>
      <c r="AM53" s="484"/>
      <c r="AN53" s="486">
        <f t="shared" si="0"/>
        <v>0</v>
      </c>
      <c r="AO53" s="484"/>
      <c r="AP53" s="484"/>
      <c r="AQ53" s="484"/>
      <c r="AR53" s="484"/>
      <c r="AS53" s="484"/>
      <c r="AT53" s="484"/>
      <c r="AU53" s="484"/>
      <c r="AV53" s="484"/>
    </row>
    <row r="54" spans="1:87" ht="13.5" hidden="1" thickBot="1">
      <c r="B54" s="185"/>
      <c r="C54" s="189"/>
      <c r="D54" s="191"/>
      <c r="E54" s="256"/>
      <c r="F54" s="495"/>
      <c r="G54" s="523"/>
      <c r="H54" s="523"/>
      <c r="I54" s="523"/>
      <c r="J54" s="523"/>
      <c r="K54" s="523"/>
      <c r="L54" s="523"/>
      <c r="M54" s="523"/>
      <c r="N54" s="523"/>
      <c r="O54" s="523"/>
      <c r="P54" s="523"/>
      <c r="Q54" s="523"/>
      <c r="R54" s="523"/>
      <c r="S54" s="523"/>
      <c r="T54" s="523"/>
      <c r="U54" s="523"/>
      <c r="V54" s="523"/>
      <c r="W54" s="523"/>
      <c r="X54" s="523"/>
      <c r="Y54" s="523"/>
      <c r="Z54" s="523"/>
      <c r="AA54" s="523"/>
      <c r="AB54" s="523"/>
      <c r="AC54" s="523"/>
      <c r="AD54" s="523"/>
      <c r="AE54" s="523"/>
      <c r="AF54" s="523"/>
      <c r="AG54" s="523"/>
      <c r="AH54" s="523"/>
      <c r="AI54" s="523"/>
      <c r="AJ54" s="523"/>
      <c r="AK54" s="523"/>
      <c r="AL54" s="523"/>
      <c r="AM54" s="484"/>
      <c r="AN54" s="486">
        <f t="shared" si="0"/>
        <v>0</v>
      </c>
      <c r="AO54" s="484"/>
      <c r="AP54" s="484"/>
      <c r="AQ54" s="484"/>
      <c r="AR54" s="484"/>
      <c r="AS54" s="484"/>
      <c r="AT54" s="484"/>
      <c r="AU54" s="484"/>
      <c r="AV54" s="484"/>
    </row>
    <row r="55" spans="1:87" ht="13.5" hidden="1" thickBot="1">
      <c r="B55" s="185"/>
      <c r="C55" s="189"/>
      <c r="D55" s="191"/>
      <c r="E55" s="256"/>
      <c r="F55" s="495"/>
      <c r="G55" s="523"/>
      <c r="H55" s="523"/>
      <c r="I55" s="523"/>
      <c r="J55" s="523"/>
      <c r="K55" s="523"/>
      <c r="L55" s="523"/>
      <c r="M55" s="523"/>
      <c r="N55" s="523"/>
      <c r="O55" s="523"/>
      <c r="P55" s="523"/>
      <c r="Q55" s="523"/>
      <c r="R55" s="523"/>
      <c r="S55" s="523"/>
      <c r="T55" s="523"/>
      <c r="U55" s="523"/>
      <c r="V55" s="523"/>
      <c r="W55" s="523"/>
      <c r="X55" s="523"/>
      <c r="Y55" s="523"/>
      <c r="Z55" s="523"/>
      <c r="AA55" s="523"/>
      <c r="AB55" s="523"/>
      <c r="AC55" s="523"/>
      <c r="AD55" s="523"/>
      <c r="AE55" s="523"/>
      <c r="AF55" s="523"/>
      <c r="AG55" s="523"/>
      <c r="AH55" s="523"/>
      <c r="AI55" s="523"/>
      <c r="AJ55" s="523"/>
      <c r="AK55" s="523"/>
      <c r="AL55" s="523"/>
      <c r="AM55" s="484"/>
      <c r="AN55" s="486">
        <f t="shared" si="0"/>
        <v>0</v>
      </c>
      <c r="AO55" s="484"/>
      <c r="AP55" s="484"/>
      <c r="AQ55" s="484"/>
      <c r="AR55" s="484"/>
      <c r="AS55" s="484"/>
      <c r="AT55" s="484"/>
      <c r="AU55" s="484"/>
      <c r="AV55" s="484"/>
    </row>
    <row r="56" spans="1:87" ht="13.5" hidden="1" thickBot="1">
      <c r="B56" s="192"/>
      <c r="C56" s="187"/>
      <c r="D56" s="188"/>
      <c r="E56" s="254"/>
      <c r="F56" s="492"/>
      <c r="G56" s="500"/>
      <c r="H56" s="500"/>
      <c r="I56" s="500"/>
      <c r="J56" s="500"/>
      <c r="K56" s="500"/>
      <c r="L56" s="500"/>
      <c r="M56" s="500"/>
      <c r="N56" s="500"/>
      <c r="O56" s="500"/>
      <c r="P56" s="500"/>
      <c r="Q56" s="500"/>
      <c r="R56" s="500"/>
      <c r="S56" s="500"/>
      <c r="T56" s="500"/>
      <c r="U56" s="500"/>
      <c r="V56" s="500"/>
      <c r="W56" s="500"/>
      <c r="X56" s="500"/>
      <c r="Y56" s="500"/>
      <c r="Z56" s="500"/>
      <c r="AA56" s="500"/>
      <c r="AB56" s="500"/>
      <c r="AC56" s="500"/>
      <c r="AD56" s="500"/>
      <c r="AE56" s="500"/>
      <c r="AF56" s="500"/>
      <c r="AG56" s="500"/>
      <c r="AH56" s="500"/>
      <c r="AI56" s="500"/>
      <c r="AJ56" s="500"/>
      <c r="AK56" s="500"/>
      <c r="AL56" s="500"/>
      <c r="AM56" s="484"/>
      <c r="AN56" s="486">
        <f t="shared" si="0"/>
        <v>0</v>
      </c>
      <c r="AO56" s="484"/>
      <c r="AP56" s="484"/>
      <c r="AQ56" s="484"/>
      <c r="AR56" s="484"/>
      <c r="AS56" s="484"/>
      <c r="AT56" s="484"/>
      <c r="AU56" s="484"/>
      <c r="AV56" s="484"/>
    </row>
    <row r="57" spans="1:87" ht="13.5" hidden="1" thickBot="1">
      <c r="E57" s="275"/>
      <c r="F57" s="483"/>
      <c r="G57" s="508"/>
      <c r="H57" s="508"/>
      <c r="I57" s="508"/>
      <c r="J57" s="508"/>
      <c r="K57" s="508"/>
      <c r="L57" s="508"/>
      <c r="M57" s="508"/>
      <c r="N57" s="508"/>
      <c r="O57" s="508"/>
      <c r="P57" s="508"/>
      <c r="Q57" s="508"/>
      <c r="R57" s="508"/>
      <c r="S57" s="508"/>
      <c r="T57" s="508"/>
      <c r="U57" s="508"/>
      <c r="V57" s="508"/>
      <c r="W57" s="508"/>
      <c r="X57" s="508"/>
      <c r="Y57" s="508"/>
      <c r="Z57" s="508"/>
      <c r="AA57" s="508"/>
      <c r="AB57" s="508"/>
      <c r="AC57" s="508"/>
      <c r="AD57" s="508"/>
      <c r="AE57" s="508"/>
      <c r="AF57" s="508"/>
      <c r="AG57" s="508"/>
      <c r="AH57" s="508"/>
      <c r="AI57" s="508"/>
      <c r="AJ57" s="508"/>
      <c r="AK57" s="508"/>
      <c r="AL57" s="508"/>
      <c r="AM57" s="484"/>
      <c r="AN57" s="486">
        <f t="shared" si="0"/>
        <v>0</v>
      </c>
      <c r="AO57" s="484"/>
      <c r="AP57" s="484"/>
      <c r="AQ57" s="484"/>
      <c r="AR57" s="484"/>
      <c r="AS57" s="484"/>
      <c r="AT57" s="484"/>
      <c r="AU57" s="484"/>
      <c r="AV57" s="484"/>
    </row>
    <row r="58" spans="1:87" ht="13.5" hidden="1" thickBot="1">
      <c r="B58" s="202" t="s">
        <v>164</v>
      </c>
      <c r="C58" s="194" t="s">
        <v>165</v>
      </c>
      <c r="D58" s="180"/>
      <c r="E58" s="267"/>
      <c r="F58" s="497"/>
      <c r="G58" s="524">
        <f>SUM(G59:G65)</f>
        <v>0</v>
      </c>
      <c r="H58" s="524">
        <f t="shared" ref="H58:AL58" si="4">SUM(H59:H65)</f>
        <v>0</v>
      </c>
      <c r="I58" s="524">
        <f t="shared" si="4"/>
        <v>0</v>
      </c>
      <c r="J58" s="524">
        <f t="shared" si="4"/>
        <v>0</v>
      </c>
      <c r="K58" s="524">
        <f t="shared" si="4"/>
        <v>0</v>
      </c>
      <c r="L58" s="524">
        <f t="shared" si="4"/>
        <v>0</v>
      </c>
      <c r="M58" s="524">
        <f t="shared" si="4"/>
        <v>0</v>
      </c>
      <c r="N58" s="524">
        <f t="shared" si="4"/>
        <v>0</v>
      </c>
      <c r="O58" s="524">
        <f t="shared" si="4"/>
        <v>0</v>
      </c>
      <c r="P58" s="524">
        <f t="shared" si="4"/>
        <v>0</v>
      </c>
      <c r="Q58" s="524">
        <f t="shared" si="4"/>
        <v>0</v>
      </c>
      <c r="R58" s="524">
        <f t="shared" si="4"/>
        <v>0</v>
      </c>
      <c r="S58" s="524">
        <f t="shared" si="4"/>
        <v>0</v>
      </c>
      <c r="T58" s="524">
        <f t="shared" si="4"/>
        <v>0</v>
      </c>
      <c r="U58" s="524">
        <f t="shared" si="4"/>
        <v>0</v>
      </c>
      <c r="V58" s="524">
        <f t="shared" si="4"/>
        <v>0</v>
      </c>
      <c r="W58" s="524">
        <f t="shared" si="4"/>
        <v>0</v>
      </c>
      <c r="X58" s="524">
        <f t="shared" si="4"/>
        <v>0</v>
      </c>
      <c r="Y58" s="524">
        <f t="shared" si="4"/>
        <v>0</v>
      </c>
      <c r="Z58" s="524">
        <f t="shared" si="4"/>
        <v>0</v>
      </c>
      <c r="AA58" s="524">
        <f t="shared" si="4"/>
        <v>0</v>
      </c>
      <c r="AB58" s="524">
        <f t="shared" si="4"/>
        <v>0</v>
      </c>
      <c r="AC58" s="524">
        <f t="shared" si="4"/>
        <v>0</v>
      </c>
      <c r="AD58" s="524">
        <f t="shared" si="4"/>
        <v>0</v>
      </c>
      <c r="AE58" s="524">
        <f t="shared" si="4"/>
        <v>0</v>
      </c>
      <c r="AF58" s="524">
        <f t="shared" si="4"/>
        <v>0</v>
      </c>
      <c r="AG58" s="524">
        <f t="shared" si="4"/>
        <v>0</v>
      </c>
      <c r="AH58" s="524">
        <f t="shared" si="4"/>
        <v>0</v>
      </c>
      <c r="AI58" s="524">
        <f t="shared" si="4"/>
        <v>0</v>
      </c>
      <c r="AJ58" s="524">
        <f t="shared" si="4"/>
        <v>0</v>
      </c>
      <c r="AK58" s="524">
        <f t="shared" si="4"/>
        <v>0</v>
      </c>
      <c r="AL58" s="524">
        <f t="shared" si="4"/>
        <v>0</v>
      </c>
      <c r="AM58" s="484"/>
      <c r="AN58" s="486">
        <f t="shared" si="0"/>
        <v>0</v>
      </c>
      <c r="AO58" s="484"/>
      <c r="AP58" s="484"/>
      <c r="AQ58" s="484"/>
      <c r="AR58" s="484"/>
      <c r="AS58" s="484"/>
      <c r="AT58" s="484"/>
      <c r="AU58" s="484"/>
      <c r="AV58" s="484"/>
    </row>
    <row r="59" spans="1:87" ht="14.25" hidden="1" thickTop="1" thickBot="1">
      <c r="B59" s="185"/>
      <c r="C59" s="196"/>
      <c r="D59" s="190"/>
      <c r="E59" s="255"/>
      <c r="F59" s="494"/>
      <c r="G59" s="525"/>
      <c r="H59" s="525"/>
      <c r="I59" s="525"/>
      <c r="J59" s="525"/>
      <c r="K59" s="525"/>
      <c r="L59" s="525"/>
      <c r="M59" s="525"/>
      <c r="N59" s="525"/>
      <c r="O59" s="525"/>
      <c r="P59" s="525"/>
      <c r="Q59" s="525"/>
      <c r="R59" s="525"/>
      <c r="S59" s="525"/>
      <c r="T59" s="525"/>
      <c r="U59" s="525"/>
      <c r="V59" s="525"/>
      <c r="W59" s="525"/>
      <c r="X59" s="525"/>
      <c r="Y59" s="525"/>
      <c r="Z59" s="525"/>
      <c r="AA59" s="525"/>
      <c r="AB59" s="525"/>
      <c r="AC59" s="525"/>
      <c r="AD59" s="525"/>
      <c r="AE59" s="525"/>
      <c r="AF59" s="525"/>
      <c r="AG59" s="525"/>
      <c r="AH59" s="525"/>
      <c r="AI59" s="525"/>
      <c r="AJ59" s="525"/>
      <c r="AK59" s="525"/>
      <c r="AL59" s="525"/>
      <c r="AM59" s="485"/>
      <c r="AN59" s="486">
        <f t="shared" si="0"/>
        <v>0</v>
      </c>
      <c r="AO59" s="485"/>
      <c r="AP59" s="485"/>
      <c r="AQ59" s="485"/>
      <c r="AR59" s="485"/>
      <c r="AS59" s="485"/>
      <c r="AT59" s="485"/>
      <c r="AU59" s="485"/>
      <c r="AV59" s="485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R59" s="173"/>
      <c r="BS59" s="173"/>
      <c r="BT59" s="173"/>
      <c r="BU59" s="173"/>
      <c r="BV59" s="173"/>
      <c r="BW59" s="173"/>
      <c r="BX59" s="173"/>
      <c r="BY59" s="173"/>
      <c r="BZ59" s="173"/>
      <c r="CA59" s="173"/>
      <c r="CB59" s="173"/>
      <c r="CC59" s="173"/>
      <c r="CD59" s="173"/>
      <c r="CE59" s="173"/>
      <c r="CF59" s="173"/>
      <c r="CG59" s="173"/>
      <c r="CH59" s="173"/>
      <c r="CI59" s="173"/>
    </row>
    <row r="60" spans="1:87" ht="13.5" hidden="1" thickBot="1">
      <c r="B60" s="185"/>
      <c r="C60" s="196"/>
      <c r="D60" s="190"/>
      <c r="E60" s="255"/>
      <c r="F60" s="494"/>
      <c r="G60" s="498"/>
      <c r="H60" s="498"/>
      <c r="I60" s="498"/>
      <c r="J60" s="498"/>
      <c r="K60" s="498"/>
      <c r="L60" s="498"/>
      <c r="M60" s="498"/>
      <c r="N60" s="498"/>
      <c r="O60" s="498"/>
      <c r="P60" s="498"/>
      <c r="Q60" s="498"/>
      <c r="R60" s="498"/>
      <c r="S60" s="498"/>
      <c r="T60" s="498"/>
      <c r="U60" s="498"/>
      <c r="V60" s="498"/>
      <c r="W60" s="498"/>
      <c r="X60" s="498"/>
      <c r="Y60" s="498"/>
      <c r="Z60" s="498"/>
      <c r="AA60" s="498"/>
      <c r="AB60" s="498"/>
      <c r="AC60" s="498"/>
      <c r="AD60" s="498"/>
      <c r="AE60" s="498"/>
      <c r="AF60" s="498"/>
      <c r="AG60" s="498"/>
      <c r="AH60" s="498"/>
      <c r="AI60" s="498"/>
      <c r="AJ60" s="498"/>
      <c r="AK60" s="498"/>
      <c r="AL60" s="498"/>
      <c r="AM60" s="485"/>
      <c r="AN60" s="486">
        <f t="shared" si="0"/>
        <v>0</v>
      </c>
      <c r="AO60" s="485"/>
      <c r="AP60" s="485"/>
      <c r="AQ60" s="485"/>
      <c r="AR60" s="485"/>
      <c r="AS60" s="485"/>
      <c r="AT60" s="485"/>
      <c r="AU60" s="485"/>
      <c r="AV60" s="485"/>
      <c r="AW60" s="173"/>
      <c r="AX60" s="173"/>
      <c r="AY60" s="173"/>
      <c r="AZ60" s="173"/>
      <c r="BA60" s="173"/>
      <c r="BB60" s="173"/>
      <c r="BC60" s="173"/>
      <c r="BD60" s="173"/>
      <c r="BE60" s="173"/>
      <c r="BF60" s="173"/>
      <c r="BG60" s="173"/>
      <c r="BH60" s="173"/>
      <c r="BI60" s="173"/>
      <c r="BJ60" s="173"/>
      <c r="BK60" s="173"/>
      <c r="BL60" s="173"/>
      <c r="BM60" s="173"/>
      <c r="BN60" s="173"/>
      <c r="BO60" s="173"/>
      <c r="BP60" s="173"/>
      <c r="BQ60" s="173"/>
      <c r="BR60" s="173"/>
      <c r="BS60" s="173"/>
      <c r="BT60" s="173"/>
      <c r="BU60" s="173"/>
      <c r="BV60" s="173"/>
      <c r="BW60" s="173"/>
      <c r="BX60" s="173"/>
      <c r="BY60" s="173"/>
      <c r="BZ60" s="173"/>
      <c r="CA60" s="173"/>
      <c r="CB60" s="173"/>
      <c r="CC60" s="173"/>
      <c r="CD60" s="173"/>
      <c r="CE60" s="173"/>
      <c r="CF60" s="173"/>
      <c r="CG60" s="173"/>
      <c r="CH60" s="173"/>
      <c r="CI60" s="173"/>
    </row>
    <row r="61" spans="1:87" ht="13.5" hidden="1" thickBot="1">
      <c r="B61" s="185"/>
      <c r="C61" s="196"/>
      <c r="D61" s="190"/>
      <c r="E61" s="255"/>
      <c r="F61" s="494"/>
      <c r="G61" s="498"/>
      <c r="H61" s="498"/>
      <c r="I61" s="498"/>
      <c r="J61" s="498"/>
      <c r="K61" s="498"/>
      <c r="L61" s="498"/>
      <c r="M61" s="498"/>
      <c r="N61" s="498"/>
      <c r="O61" s="498"/>
      <c r="P61" s="498"/>
      <c r="Q61" s="498"/>
      <c r="R61" s="498"/>
      <c r="S61" s="498"/>
      <c r="T61" s="498"/>
      <c r="U61" s="498"/>
      <c r="V61" s="498"/>
      <c r="W61" s="498"/>
      <c r="X61" s="498"/>
      <c r="Y61" s="498"/>
      <c r="Z61" s="498"/>
      <c r="AA61" s="498"/>
      <c r="AB61" s="498"/>
      <c r="AC61" s="498"/>
      <c r="AD61" s="498"/>
      <c r="AE61" s="498"/>
      <c r="AF61" s="498"/>
      <c r="AG61" s="498"/>
      <c r="AH61" s="498"/>
      <c r="AI61" s="498"/>
      <c r="AJ61" s="498"/>
      <c r="AK61" s="498"/>
      <c r="AL61" s="498"/>
      <c r="AM61" s="485"/>
      <c r="AN61" s="486">
        <f t="shared" si="0"/>
        <v>0</v>
      </c>
      <c r="AO61" s="485"/>
      <c r="AP61" s="485"/>
      <c r="AQ61" s="485"/>
      <c r="AR61" s="485"/>
      <c r="AS61" s="485"/>
      <c r="AT61" s="485"/>
      <c r="AU61" s="485"/>
      <c r="AV61" s="485"/>
      <c r="AW61" s="173"/>
      <c r="AX61" s="173"/>
      <c r="AY61" s="173"/>
      <c r="AZ61" s="173"/>
      <c r="BA61" s="173"/>
      <c r="BB61" s="173"/>
      <c r="BC61" s="173"/>
      <c r="BD61" s="173"/>
      <c r="BE61" s="173"/>
      <c r="BF61" s="173"/>
      <c r="BG61" s="173"/>
      <c r="BH61" s="173"/>
      <c r="BI61" s="173"/>
      <c r="BJ61" s="173"/>
      <c r="BK61" s="173"/>
      <c r="BL61" s="173"/>
      <c r="BM61" s="173"/>
      <c r="BN61" s="173"/>
      <c r="BO61" s="173"/>
      <c r="BP61" s="173"/>
      <c r="BQ61" s="173"/>
      <c r="BR61" s="173"/>
      <c r="BS61" s="173"/>
      <c r="BT61" s="173"/>
      <c r="BU61" s="173"/>
      <c r="BV61" s="173"/>
      <c r="BW61" s="173"/>
      <c r="BX61" s="173"/>
      <c r="BY61" s="173"/>
      <c r="BZ61" s="173"/>
      <c r="CA61" s="173"/>
      <c r="CB61" s="173"/>
      <c r="CC61" s="173"/>
      <c r="CD61" s="173"/>
      <c r="CE61" s="173"/>
      <c r="CF61" s="173"/>
      <c r="CG61" s="173"/>
      <c r="CH61" s="173"/>
      <c r="CI61" s="173"/>
    </row>
    <row r="62" spans="1:87" ht="13.5" hidden="1" thickBot="1">
      <c r="B62" s="185"/>
      <c r="C62" s="196"/>
      <c r="D62" s="190"/>
      <c r="E62" s="255"/>
      <c r="F62" s="494"/>
      <c r="G62" s="498"/>
      <c r="H62" s="498"/>
      <c r="I62" s="498"/>
      <c r="J62" s="498"/>
      <c r="K62" s="498"/>
      <c r="L62" s="498"/>
      <c r="M62" s="498"/>
      <c r="N62" s="498"/>
      <c r="O62" s="498"/>
      <c r="P62" s="498"/>
      <c r="Q62" s="498"/>
      <c r="R62" s="498"/>
      <c r="S62" s="498"/>
      <c r="T62" s="498"/>
      <c r="U62" s="498"/>
      <c r="V62" s="498"/>
      <c r="W62" s="498"/>
      <c r="X62" s="498"/>
      <c r="Y62" s="498"/>
      <c r="Z62" s="498"/>
      <c r="AA62" s="498"/>
      <c r="AB62" s="498"/>
      <c r="AC62" s="498"/>
      <c r="AD62" s="498"/>
      <c r="AE62" s="498"/>
      <c r="AF62" s="498"/>
      <c r="AG62" s="498"/>
      <c r="AH62" s="498"/>
      <c r="AI62" s="498"/>
      <c r="AJ62" s="498"/>
      <c r="AK62" s="498"/>
      <c r="AL62" s="498"/>
      <c r="AM62" s="485"/>
      <c r="AN62" s="486">
        <f t="shared" si="0"/>
        <v>0</v>
      </c>
      <c r="AO62" s="485"/>
      <c r="AP62" s="485"/>
      <c r="AQ62" s="485"/>
      <c r="AR62" s="485"/>
      <c r="AS62" s="485"/>
      <c r="AT62" s="485"/>
      <c r="AU62" s="485"/>
      <c r="AV62" s="485"/>
      <c r="AW62" s="173"/>
      <c r="AX62" s="173"/>
      <c r="AY62" s="173"/>
      <c r="AZ62" s="173"/>
      <c r="BA62" s="173"/>
      <c r="BB62" s="173"/>
      <c r="BC62" s="173"/>
      <c r="BD62" s="173"/>
      <c r="BE62" s="173"/>
      <c r="BF62" s="173"/>
      <c r="BG62" s="173"/>
      <c r="BH62" s="173"/>
      <c r="BI62" s="173"/>
      <c r="BJ62" s="173"/>
      <c r="BK62" s="173"/>
      <c r="BL62" s="173"/>
      <c r="BM62" s="173"/>
      <c r="BN62" s="173"/>
      <c r="BO62" s="173"/>
      <c r="BP62" s="173"/>
      <c r="BQ62" s="173"/>
      <c r="BR62" s="173"/>
      <c r="BS62" s="173"/>
      <c r="BT62" s="173"/>
      <c r="BU62" s="173"/>
      <c r="BV62" s="173"/>
      <c r="BW62" s="173"/>
      <c r="BX62" s="173"/>
      <c r="BY62" s="173"/>
      <c r="BZ62" s="173"/>
      <c r="CA62" s="173"/>
      <c r="CB62" s="173"/>
      <c r="CC62" s="173"/>
      <c r="CD62" s="173"/>
      <c r="CE62" s="173"/>
      <c r="CF62" s="173"/>
      <c r="CG62" s="173"/>
      <c r="CH62" s="173"/>
      <c r="CI62" s="173"/>
    </row>
    <row r="63" spans="1:87" ht="13.5" hidden="1" thickBot="1">
      <c r="B63" s="185"/>
      <c r="C63" s="196"/>
      <c r="D63" s="190"/>
      <c r="E63" s="255"/>
      <c r="F63" s="494"/>
      <c r="G63" s="498"/>
      <c r="H63" s="498"/>
      <c r="I63" s="498"/>
      <c r="J63" s="498"/>
      <c r="K63" s="498"/>
      <c r="L63" s="498"/>
      <c r="M63" s="498"/>
      <c r="N63" s="498"/>
      <c r="O63" s="498"/>
      <c r="P63" s="498"/>
      <c r="Q63" s="498"/>
      <c r="R63" s="498"/>
      <c r="S63" s="498"/>
      <c r="T63" s="498"/>
      <c r="U63" s="498"/>
      <c r="V63" s="498"/>
      <c r="W63" s="498"/>
      <c r="X63" s="498"/>
      <c r="Y63" s="498"/>
      <c r="Z63" s="498"/>
      <c r="AA63" s="498"/>
      <c r="AB63" s="498"/>
      <c r="AC63" s="498"/>
      <c r="AD63" s="498"/>
      <c r="AE63" s="498"/>
      <c r="AF63" s="498"/>
      <c r="AG63" s="498"/>
      <c r="AH63" s="498"/>
      <c r="AI63" s="498"/>
      <c r="AJ63" s="498"/>
      <c r="AK63" s="498"/>
      <c r="AL63" s="498"/>
      <c r="AM63" s="485"/>
      <c r="AN63" s="486">
        <f t="shared" si="0"/>
        <v>0</v>
      </c>
      <c r="AO63" s="485"/>
      <c r="AP63" s="485"/>
      <c r="AQ63" s="485"/>
      <c r="AR63" s="485"/>
      <c r="AS63" s="485"/>
      <c r="AT63" s="485"/>
      <c r="AU63" s="485"/>
      <c r="AV63" s="485"/>
      <c r="AW63" s="173"/>
      <c r="AX63" s="173"/>
      <c r="AY63" s="173"/>
      <c r="AZ63" s="173"/>
      <c r="BA63" s="173"/>
      <c r="BB63" s="173"/>
      <c r="BC63" s="173"/>
      <c r="BD63" s="173"/>
      <c r="BE63" s="173"/>
      <c r="BF63" s="173"/>
      <c r="BG63" s="173"/>
      <c r="BH63" s="173"/>
      <c r="BI63" s="173"/>
      <c r="BJ63" s="173"/>
      <c r="BK63" s="173"/>
      <c r="BL63" s="173"/>
      <c r="BM63" s="173"/>
      <c r="BN63" s="173"/>
      <c r="BO63" s="173"/>
      <c r="BP63" s="173"/>
      <c r="BQ63" s="173"/>
      <c r="BR63" s="173"/>
      <c r="BS63" s="173"/>
      <c r="BT63" s="173"/>
      <c r="BU63" s="173"/>
      <c r="BV63" s="173"/>
      <c r="BW63" s="173"/>
      <c r="BX63" s="173"/>
      <c r="BY63" s="173"/>
      <c r="BZ63" s="173"/>
      <c r="CA63" s="173"/>
      <c r="CB63" s="173"/>
      <c r="CC63" s="173"/>
      <c r="CD63" s="173"/>
      <c r="CE63" s="173"/>
      <c r="CF63" s="173"/>
      <c r="CG63" s="173"/>
      <c r="CH63" s="173"/>
      <c r="CI63" s="173"/>
    </row>
    <row r="64" spans="1:87" ht="13.5" hidden="1" thickBot="1">
      <c r="B64" s="185"/>
      <c r="C64" s="196"/>
      <c r="D64" s="191"/>
      <c r="E64" s="256"/>
      <c r="F64" s="495"/>
      <c r="G64" s="523"/>
      <c r="H64" s="523"/>
      <c r="I64" s="523"/>
      <c r="J64" s="523"/>
      <c r="K64" s="523"/>
      <c r="L64" s="523"/>
      <c r="M64" s="523"/>
      <c r="N64" s="523"/>
      <c r="O64" s="523"/>
      <c r="P64" s="523"/>
      <c r="Q64" s="523"/>
      <c r="R64" s="523"/>
      <c r="S64" s="523"/>
      <c r="T64" s="523"/>
      <c r="U64" s="523"/>
      <c r="V64" s="523"/>
      <c r="W64" s="523"/>
      <c r="X64" s="523"/>
      <c r="Y64" s="523"/>
      <c r="Z64" s="523"/>
      <c r="AA64" s="523"/>
      <c r="AB64" s="523"/>
      <c r="AC64" s="523"/>
      <c r="AD64" s="523"/>
      <c r="AE64" s="523"/>
      <c r="AF64" s="523"/>
      <c r="AG64" s="523"/>
      <c r="AH64" s="523"/>
      <c r="AI64" s="523"/>
      <c r="AJ64" s="523"/>
      <c r="AK64" s="523"/>
      <c r="AL64" s="523"/>
      <c r="AM64" s="485"/>
      <c r="AN64" s="486">
        <f t="shared" si="0"/>
        <v>0</v>
      </c>
      <c r="AO64" s="485"/>
      <c r="AP64" s="485"/>
      <c r="AQ64" s="485"/>
      <c r="AR64" s="485"/>
      <c r="AS64" s="485"/>
      <c r="AT64" s="485"/>
      <c r="AU64" s="485"/>
      <c r="AV64" s="485"/>
      <c r="AW64" s="173"/>
      <c r="AX64" s="173"/>
      <c r="AY64" s="173"/>
      <c r="AZ64" s="173"/>
      <c r="BA64" s="173"/>
      <c r="BB64" s="173"/>
      <c r="BC64" s="173"/>
      <c r="BD64" s="173"/>
      <c r="BE64" s="173"/>
      <c r="BF64" s="173"/>
      <c r="BG64" s="173"/>
      <c r="BH64" s="173"/>
      <c r="BI64" s="173"/>
      <c r="BJ64" s="173"/>
      <c r="BK64" s="173"/>
      <c r="BL64" s="173"/>
      <c r="BM64" s="173"/>
      <c r="BN64" s="173"/>
      <c r="BO64" s="173"/>
      <c r="BP64" s="173"/>
      <c r="BQ64" s="173"/>
      <c r="BR64" s="173"/>
      <c r="BS64" s="173"/>
      <c r="BT64" s="173"/>
      <c r="BU64" s="173"/>
      <c r="BV64" s="173"/>
      <c r="BW64" s="173"/>
      <c r="BX64" s="173"/>
      <c r="BY64" s="173"/>
      <c r="BZ64" s="173"/>
      <c r="CA64" s="173"/>
      <c r="CB64" s="173"/>
      <c r="CC64" s="173"/>
      <c r="CD64" s="173"/>
      <c r="CE64" s="173"/>
      <c r="CF64" s="173"/>
      <c r="CG64" s="173"/>
      <c r="CH64" s="173"/>
      <c r="CI64" s="173"/>
    </row>
    <row r="65" spans="2:87" ht="13.5" hidden="1" thickBot="1">
      <c r="B65" s="192"/>
      <c r="C65" s="197"/>
      <c r="D65" s="193"/>
      <c r="E65" s="257"/>
      <c r="F65" s="493"/>
      <c r="G65" s="500"/>
      <c r="H65" s="500"/>
      <c r="I65" s="500"/>
      <c r="J65" s="500"/>
      <c r="K65" s="500"/>
      <c r="L65" s="500"/>
      <c r="M65" s="500"/>
      <c r="N65" s="500"/>
      <c r="O65" s="500"/>
      <c r="P65" s="500"/>
      <c r="Q65" s="500"/>
      <c r="R65" s="500"/>
      <c r="S65" s="500"/>
      <c r="T65" s="500"/>
      <c r="U65" s="500"/>
      <c r="V65" s="500"/>
      <c r="W65" s="500"/>
      <c r="X65" s="500"/>
      <c r="Y65" s="500"/>
      <c r="Z65" s="500"/>
      <c r="AA65" s="500"/>
      <c r="AB65" s="500"/>
      <c r="AC65" s="500"/>
      <c r="AD65" s="500"/>
      <c r="AE65" s="500"/>
      <c r="AF65" s="500"/>
      <c r="AG65" s="500"/>
      <c r="AH65" s="500"/>
      <c r="AI65" s="500"/>
      <c r="AJ65" s="500"/>
      <c r="AK65" s="500"/>
      <c r="AL65" s="500"/>
      <c r="AM65" s="485"/>
      <c r="AN65" s="486">
        <f t="shared" si="0"/>
        <v>0</v>
      </c>
      <c r="AO65" s="485"/>
      <c r="AP65" s="485"/>
      <c r="AQ65" s="485"/>
      <c r="AR65" s="485"/>
      <c r="AS65" s="485"/>
      <c r="AT65" s="485"/>
      <c r="AU65" s="485"/>
      <c r="AV65" s="485"/>
      <c r="AW65" s="173"/>
      <c r="AX65" s="173"/>
      <c r="AY65" s="173"/>
      <c r="AZ65" s="173"/>
      <c r="BA65" s="173"/>
      <c r="BB65" s="173"/>
      <c r="BC65" s="173"/>
      <c r="BD65" s="173"/>
      <c r="BE65" s="173"/>
      <c r="BF65" s="173"/>
      <c r="BG65" s="173"/>
      <c r="BH65" s="173"/>
      <c r="BI65" s="173"/>
      <c r="BJ65" s="173"/>
      <c r="BK65" s="173"/>
      <c r="BL65" s="173"/>
      <c r="BM65" s="173"/>
      <c r="BN65" s="173"/>
      <c r="BO65" s="173"/>
      <c r="BP65" s="173"/>
      <c r="BQ65" s="173"/>
      <c r="BR65" s="173"/>
      <c r="BS65" s="173"/>
      <c r="BT65" s="173"/>
      <c r="BU65" s="173"/>
      <c r="BV65" s="173"/>
      <c r="BW65" s="173"/>
      <c r="BX65" s="173"/>
      <c r="BY65" s="173"/>
      <c r="BZ65" s="173"/>
      <c r="CA65" s="173"/>
      <c r="CB65" s="173"/>
      <c r="CC65" s="173"/>
      <c r="CD65" s="173"/>
      <c r="CE65" s="173"/>
      <c r="CF65" s="173"/>
      <c r="CG65" s="173"/>
      <c r="CH65" s="173"/>
      <c r="CI65" s="173"/>
    </row>
    <row r="66" spans="2:87" ht="13.5" hidden="1" thickBot="1">
      <c r="F66" s="483"/>
      <c r="G66" s="508"/>
      <c r="H66" s="508"/>
      <c r="I66" s="508"/>
      <c r="J66" s="508"/>
      <c r="K66" s="508"/>
      <c r="L66" s="508"/>
      <c r="M66" s="508"/>
      <c r="N66" s="508"/>
      <c r="O66" s="508"/>
      <c r="P66" s="508"/>
      <c r="Q66" s="508"/>
      <c r="R66" s="508"/>
      <c r="S66" s="508"/>
      <c r="T66" s="508"/>
      <c r="U66" s="508"/>
      <c r="V66" s="508"/>
      <c r="W66" s="508"/>
      <c r="X66" s="508"/>
      <c r="Y66" s="508"/>
      <c r="Z66" s="508"/>
      <c r="AA66" s="508"/>
      <c r="AB66" s="508"/>
      <c r="AC66" s="508"/>
      <c r="AD66" s="508"/>
      <c r="AE66" s="508"/>
      <c r="AF66" s="508"/>
      <c r="AG66" s="508"/>
      <c r="AH66" s="508"/>
      <c r="AI66" s="508"/>
      <c r="AJ66" s="508"/>
      <c r="AK66" s="508"/>
      <c r="AL66" s="508"/>
      <c r="AM66" s="484"/>
      <c r="AN66" s="486">
        <f t="shared" si="0"/>
        <v>0</v>
      </c>
      <c r="AO66" s="484"/>
      <c r="AP66" s="484"/>
      <c r="AQ66" s="484"/>
      <c r="AR66" s="484"/>
      <c r="AS66" s="484"/>
      <c r="AT66" s="484"/>
      <c r="AU66" s="484"/>
      <c r="AV66" s="484"/>
    </row>
    <row r="67" spans="2:87" ht="13.5" thickBot="1">
      <c r="B67" s="178"/>
      <c r="C67" s="179" t="s">
        <v>166</v>
      </c>
      <c r="D67" s="180"/>
      <c r="E67" s="181"/>
      <c r="F67" s="497"/>
      <c r="G67" s="520">
        <f>'17 R1 INV COMP'!F95</f>
        <v>20517119.663628098</v>
      </c>
      <c r="H67" s="520" t="e">
        <f>'17 R1 INV COMP'!#REF!</f>
        <v>#REF!</v>
      </c>
      <c r="I67" s="520">
        <f>'17 R1 INV COMP'!G95</f>
        <v>563262.22957299976</v>
      </c>
      <c r="J67" s="520">
        <f>'17 R1 INV COMP'!H95</f>
        <v>345639.16425320646</v>
      </c>
      <c r="K67" s="520">
        <f>'17 R1 INV COMP'!I95</f>
        <v>302337.51106105704</v>
      </c>
      <c r="L67" s="520">
        <f>'17 R1 INV COMP'!J95</f>
        <v>1393737.2138793976</v>
      </c>
      <c r="M67" s="520">
        <f>'17 R1 INV COMP'!K95</f>
        <v>5209890.1252055867</v>
      </c>
      <c r="N67" s="520">
        <f>'17 R1 INV COMP'!L95</f>
        <v>727898.33131925284</v>
      </c>
      <c r="O67" s="520">
        <f>'17 R1 INV COMP'!M95</f>
        <v>1713105.5265664214</v>
      </c>
      <c r="P67" s="520">
        <f>'17 R1 INV COMP'!N95</f>
        <v>1191741.8254753242</v>
      </c>
      <c r="Q67" s="520">
        <f>'17 R1 INV COMP'!O95</f>
        <v>1924165.9188391753</v>
      </c>
      <c r="R67" s="520">
        <f>'17 R1 INV COMP'!P95</f>
        <v>999778.07055976056</v>
      </c>
      <c r="S67" s="520">
        <f>'17 R1 INV COMP'!Q95</f>
        <v>2653505.4796216656</v>
      </c>
      <c r="T67" s="520">
        <f>'17 R1 INV COMP'!R95</f>
        <v>2353010.2054911945</v>
      </c>
      <c r="U67" s="520">
        <f>'17 R1 INV COMP'!S95</f>
        <v>68386.753752136574</v>
      </c>
      <c r="V67" s="520">
        <f>'17 R1 INV COMP'!T95</f>
        <v>68386.753752136574</v>
      </c>
      <c r="W67" s="520">
        <f>'17 R1 INV COMP'!U95</f>
        <v>68386.753752136574</v>
      </c>
      <c r="X67" s="520">
        <f>'17 R1 INV COMP'!V95</f>
        <v>63098.753752136574</v>
      </c>
      <c r="Y67" s="520">
        <f>'17 R1 INV COMP'!W95</f>
        <v>63098.753752136574</v>
      </c>
      <c r="Z67" s="520">
        <f>'17 R1 INV COMP'!X95</f>
        <v>63098.753752136574</v>
      </c>
      <c r="AA67" s="520">
        <f>'17 R1 INV COMP'!Y95</f>
        <v>63098.753752136574</v>
      </c>
      <c r="AB67" s="520">
        <f>'17 R1 INV COMP'!Z95</f>
        <v>63098.753752136574</v>
      </c>
      <c r="AC67" s="520">
        <f>'17 R1 INV COMP'!AA95</f>
        <v>68793.753752136574</v>
      </c>
      <c r="AD67" s="520">
        <f>'17 R1 INV COMP'!AB95</f>
        <v>59438.753752136574</v>
      </c>
      <c r="AE67" s="520">
        <f>'17 R1 INV COMP'!AC95</f>
        <v>59438.753752136574</v>
      </c>
      <c r="AF67" s="520">
        <f>'17 R1 INV COMP'!AD95</f>
        <v>59438.753752136574</v>
      </c>
      <c r="AG67" s="520">
        <f>'17 R1 INV COMP'!AE95</f>
        <v>59438.753752136574</v>
      </c>
      <c r="AH67" s="520">
        <f>'17 R1 INV COMP'!AF95</f>
        <v>68793.753752136574</v>
      </c>
      <c r="AI67" s="520">
        <f>'17 R1 INV COMP'!AG95</f>
        <v>60252.753752136574</v>
      </c>
      <c r="AJ67" s="520">
        <f>'17 R1 INV COMP'!AH95</f>
        <v>61066.753752136574</v>
      </c>
      <c r="AK67" s="520">
        <f>'17 R1 INV COMP'!AI95</f>
        <v>62284.753752136574</v>
      </c>
      <c r="AL67" s="520">
        <f>'17 R1 INV COMP'!AJ95</f>
        <v>59447.247996732927</v>
      </c>
      <c r="AM67" s="484"/>
      <c r="AN67" s="486">
        <f t="shared" si="0"/>
        <v>-3.3527612686157227E-8</v>
      </c>
      <c r="AO67" s="484"/>
      <c r="AP67" s="484"/>
      <c r="AQ67" s="484"/>
      <c r="AR67" s="484"/>
      <c r="AS67" s="484"/>
      <c r="AT67" s="484"/>
      <c r="AU67" s="484"/>
      <c r="AV67" s="484"/>
    </row>
    <row r="68" spans="2:87">
      <c r="AM68" s="484"/>
      <c r="AN68" s="486">
        <f t="shared" si="0"/>
        <v>0</v>
      </c>
      <c r="AO68" s="484"/>
      <c r="AP68" s="484"/>
      <c r="AQ68" s="484"/>
      <c r="AR68" s="484"/>
      <c r="AS68" s="484"/>
      <c r="AT68" s="484"/>
      <c r="AU68" s="484"/>
      <c r="AV68" s="484"/>
    </row>
    <row r="69" spans="2:87" ht="13.5" thickBot="1">
      <c r="I69" s="571" t="s">
        <v>360</v>
      </c>
      <c r="J69" s="571" t="s">
        <v>361</v>
      </c>
      <c r="K69" s="571" t="s">
        <v>362</v>
      </c>
      <c r="L69" s="571" t="s">
        <v>363</v>
      </c>
      <c r="M69" s="571" t="s">
        <v>364</v>
      </c>
      <c r="N69" s="571" t="s">
        <v>365</v>
      </c>
      <c r="O69" s="571" t="s">
        <v>366</v>
      </c>
      <c r="P69" s="571" t="s">
        <v>367</v>
      </c>
      <c r="Q69" s="571" t="s">
        <v>368</v>
      </c>
      <c r="R69" s="571" t="s">
        <v>369</v>
      </c>
      <c r="S69" s="571" t="s">
        <v>370</v>
      </c>
      <c r="T69" s="571" t="s">
        <v>371</v>
      </c>
      <c r="U69" s="571" t="s">
        <v>372</v>
      </c>
      <c r="V69" s="571" t="s">
        <v>373</v>
      </c>
      <c r="W69" s="571" t="s">
        <v>374</v>
      </c>
      <c r="X69" s="571" t="s">
        <v>375</v>
      </c>
      <c r="Y69" s="571" t="s">
        <v>376</v>
      </c>
      <c r="Z69" s="571" t="s">
        <v>377</v>
      </c>
      <c r="AA69" s="571" t="s">
        <v>378</v>
      </c>
      <c r="AB69" s="571" t="s">
        <v>379</v>
      </c>
      <c r="AC69" s="571" t="s">
        <v>380</v>
      </c>
      <c r="AD69" s="571" t="s">
        <v>381</v>
      </c>
      <c r="AE69" s="571" t="s">
        <v>382</v>
      </c>
      <c r="AF69" s="571" t="s">
        <v>383</v>
      </c>
      <c r="AG69" s="571" t="s">
        <v>384</v>
      </c>
      <c r="AH69" s="571" t="s">
        <v>385</v>
      </c>
      <c r="AI69" s="571" t="s">
        <v>386</v>
      </c>
      <c r="AJ69" s="571" t="s">
        <v>387</v>
      </c>
      <c r="AK69" s="571" t="s">
        <v>388</v>
      </c>
      <c r="AL69" s="571" t="s">
        <v>389</v>
      </c>
      <c r="AM69" s="484"/>
      <c r="AN69" s="486">
        <f t="shared" ref="AN69:AN74" si="5">SUM(I69:AM69)-G69</f>
        <v>0</v>
      </c>
      <c r="AO69" s="484"/>
      <c r="AP69" s="484"/>
      <c r="AQ69" s="484"/>
      <c r="AR69" s="484"/>
      <c r="AS69" s="484"/>
      <c r="AT69" s="484"/>
      <c r="AU69" s="484"/>
      <c r="AV69" s="484"/>
    </row>
    <row r="70" spans="2:87" ht="13.5" thickBot="1">
      <c r="D70" s="874"/>
      <c r="F70" s="783" t="s">
        <v>87</v>
      </c>
      <c r="G70" s="870">
        <f>G5+G18+G28+G42</f>
        <v>3165202.4287026972</v>
      </c>
      <c r="H70" s="871" t="e">
        <f t="shared" ref="H70:AL70" si="6">H5+H18+H28+H42</f>
        <v>#REF!</v>
      </c>
      <c r="I70" s="872">
        <f t="shared" si="6"/>
        <v>408428.3754822117</v>
      </c>
      <c r="J70" s="872">
        <f t="shared" si="6"/>
        <v>329783.01199834509</v>
      </c>
      <c r="K70" s="872">
        <f t="shared" si="6"/>
        <v>226602.31678867349</v>
      </c>
      <c r="L70" s="872">
        <f t="shared" si="6"/>
        <v>1359859.3479073208</v>
      </c>
      <c r="M70" s="872">
        <f t="shared" si="6"/>
        <v>423362.0777800596</v>
      </c>
      <c r="N70" s="872">
        <f t="shared" si="6"/>
        <v>99278.617780059591</v>
      </c>
      <c r="O70" s="872">
        <f t="shared" si="6"/>
        <v>14581.887780059598</v>
      </c>
      <c r="P70" s="872">
        <f t="shared" si="6"/>
        <v>14581.887780059598</v>
      </c>
      <c r="Q70" s="872">
        <f t="shared" si="6"/>
        <v>14581.887780059598</v>
      </c>
      <c r="R70" s="872">
        <f t="shared" si="6"/>
        <v>15189.887780059598</v>
      </c>
      <c r="S70" s="872">
        <f t="shared" si="6"/>
        <v>14785.887780059598</v>
      </c>
      <c r="T70" s="872">
        <f t="shared" si="6"/>
        <v>14275.887780059598</v>
      </c>
      <c r="U70" s="872">
        <f t="shared" si="6"/>
        <v>14275.887780059598</v>
      </c>
      <c r="V70" s="872">
        <f t="shared" si="6"/>
        <v>14275.887780059598</v>
      </c>
      <c r="W70" s="872">
        <f t="shared" si="6"/>
        <v>14275.887780059598</v>
      </c>
      <c r="X70" s="872">
        <f t="shared" si="6"/>
        <v>12851.887780059598</v>
      </c>
      <c r="Y70" s="872">
        <f t="shared" si="6"/>
        <v>12851.887780059598</v>
      </c>
      <c r="Z70" s="872">
        <f t="shared" si="6"/>
        <v>12851.887780059598</v>
      </c>
      <c r="AA70" s="872">
        <f t="shared" si="6"/>
        <v>12851.887780059598</v>
      </c>
      <c r="AB70" s="872">
        <f t="shared" si="6"/>
        <v>12851.887780059598</v>
      </c>
      <c r="AC70" s="872">
        <f t="shared" si="6"/>
        <v>14377.887780059598</v>
      </c>
      <c r="AD70" s="872">
        <f t="shared" si="6"/>
        <v>11835.887780059598</v>
      </c>
      <c r="AE70" s="872">
        <f t="shared" si="6"/>
        <v>11835.887780059598</v>
      </c>
      <c r="AF70" s="872">
        <f t="shared" si="6"/>
        <v>11835.887780059598</v>
      </c>
      <c r="AG70" s="872">
        <f t="shared" si="6"/>
        <v>11835.887780059598</v>
      </c>
      <c r="AH70" s="872">
        <f t="shared" si="6"/>
        <v>14377.887780059598</v>
      </c>
      <c r="AI70" s="872">
        <f t="shared" si="6"/>
        <v>12039.887780059598</v>
      </c>
      <c r="AJ70" s="872">
        <f t="shared" si="6"/>
        <v>12243.887780059598</v>
      </c>
      <c r="AK70" s="872">
        <f t="shared" si="6"/>
        <v>12647.887780059598</v>
      </c>
      <c r="AL70" s="872">
        <f t="shared" si="6"/>
        <v>9773.2620246559418</v>
      </c>
      <c r="AM70" s="484"/>
      <c r="AN70" s="486">
        <f t="shared" si="5"/>
        <v>0</v>
      </c>
      <c r="AO70" s="484"/>
      <c r="AP70" s="484"/>
      <c r="AQ70" s="484"/>
      <c r="AR70" s="484"/>
      <c r="AS70" s="484"/>
      <c r="AT70" s="484"/>
      <c r="AU70" s="484"/>
      <c r="AV70" s="484"/>
    </row>
    <row r="71" spans="2:87" ht="13.5" thickBot="1">
      <c r="D71" s="874"/>
      <c r="F71" s="783" t="s">
        <v>88</v>
      </c>
      <c r="G71" s="870">
        <f>G15+G33</f>
        <v>16260693.53017902</v>
      </c>
      <c r="H71" s="871" t="e">
        <f t="shared" ref="H71:AL71" si="7">H15+H33</f>
        <v>#REF!</v>
      </c>
      <c r="I71" s="872">
        <f t="shared" si="7"/>
        <v>37879.125589369905</v>
      </c>
      <c r="J71" s="872">
        <f t="shared" si="7"/>
        <v>571.94869673148537</v>
      </c>
      <c r="K71" s="872">
        <f t="shared" si="7"/>
        <v>9420.8028316306008</v>
      </c>
      <c r="L71" s="872">
        <f t="shared" si="7"/>
        <v>816</v>
      </c>
      <c r="M71" s="872">
        <f t="shared" si="7"/>
        <v>4753466.1814534497</v>
      </c>
      <c r="N71" s="872">
        <f t="shared" si="7"/>
        <v>595557.84756711626</v>
      </c>
      <c r="O71" s="872">
        <f t="shared" si="7"/>
        <v>1665461.7728142848</v>
      </c>
      <c r="P71" s="872">
        <f t="shared" si="7"/>
        <v>1144098.0717231876</v>
      </c>
      <c r="Q71" s="872">
        <f t="shared" si="7"/>
        <v>1876522.1650870387</v>
      </c>
      <c r="R71" s="872">
        <f t="shared" si="7"/>
        <v>951526.31680762395</v>
      </c>
      <c r="S71" s="872">
        <f t="shared" si="7"/>
        <v>2605657.7258695289</v>
      </c>
      <c r="T71" s="872">
        <f t="shared" si="7"/>
        <v>2305672.4517390579</v>
      </c>
      <c r="U71" s="872">
        <f t="shared" si="7"/>
        <v>21049</v>
      </c>
      <c r="V71" s="872">
        <f t="shared" si="7"/>
        <v>21049</v>
      </c>
      <c r="W71" s="872">
        <f t="shared" si="7"/>
        <v>21049</v>
      </c>
      <c r="X71" s="872">
        <f t="shared" si="7"/>
        <v>17185</v>
      </c>
      <c r="Y71" s="872">
        <f t="shared" si="7"/>
        <v>17185</v>
      </c>
      <c r="Z71" s="872">
        <f t="shared" si="7"/>
        <v>17185</v>
      </c>
      <c r="AA71" s="872">
        <f t="shared" si="7"/>
        <v>17185</v>
      </c>
      <c r="AB71" s="872">
        <f t="shared" si="7"/>
        <v>17185</v>
      </c>
      <c r="AC71" s="872">
        <f t="shared" si="7"/>
        <v>21354</v>
      </c>
      <c r="AD71" s="872">
        <f t="shared" si="7"/>
        <v>14541</v>
      </c>
      <c r="AE71" s="872">
        <f t="shared" si="7"/>
        <v>14541</v>
      </c>
      <c r="AF71" s="872">
        <f t="shared" si="7"/>
        <v>14541</v>
      </c>
      <c r="AG71" s="872">
        <f t="shared" si="7"/>
        <v>14541</v>
      </c>
      <c r="AH71" s="872">
        <f t="shared" si="7"/>
        <v>21354</v>
      </c>
      <c r="AI71" s="872">
        <f t="shared" si="7"/>
        <v>15151</v>
      </c>
      <c r="AJ71" s="872">
        <f t="shared" si="7"/>
        <v>15761</v>
      </c>
      <c r="AK71" s="872">
        <f t="shared" si="7"/>
        <v>16575</v>
      </c>
      <c r="AL71" s="872">
        <f t="shared" si="7"/>
        <v>16612.120000000003</v>
      </c>
      <c r="AM71" s="484"/>
      <c r="AN71" s="486">
        <f t="shared" si="5"/>
        <v>0</v>
      </c>
      <c r="AO71" s="484"/>
      <c r="AP71" s="484"/>
      <c r="AQ71" s="484"/>
      <c r="AR71" s="484"/>
      <c r="AS71" s="484"/>
      <c r="AT71" s="484"/>
      <c r="AU71" s="484"/>
      <c r="AV71" s="484"/>
    </row>
    <row r="72" spans="2:87" ht="13.5" thickBot="1">
      <c r="D72" s="874"/>
      <c r="F72" s="783" t="s">
        <v>171</v>
      </c>
      <c r="G72" s="870">
        <f>G22</f>
        <v>1091223.70474638</v>
      </c>
      <c r="H72" s="871" t="e">
        <f t="shared" ref="H72:AL72" si="8">H22</f>
        <v>#REF!</v>
      </c>
      <c r="I72" s="872">
        <f t="shared" si="8"/>
        <v>116954.72850141811</v>
      </c>
      <c r="J72" s="872">
        <f t="shared" si="8"/>
        <v>15284.203558129915</v>
      </c>
      <c r="K72" s="872">
        <f t="shared" si="8"/>
        <v>66314.391440752952</v>
      </c>
      <c r="L72" s="872">
        <f t="shared" si="8"/>
        <v>33061.865972076979</v>
      </c>
      <c r="M72" s="872">
        <f t="shared" si="8"/>
        <v>33061.865972076979</v>
      </c>
      <c r="N72" s="872">
        <f t="shared" si="8"/>
        <v>33061.865972076979</v>
      </c>
      <c r="O72" s="872">
        <f t="shared" si="8"/>
        <v>33061.865972076979</v>
      </c>
      <c r="P72" s="872">
        <f t="shared" si="8"/>
        <v>33061.865972076979</v>
      </c>
      <c r="Q72" s="872">
        <f t="shared" si="8"/>
        <v>33061.865972076979</v>
      </c>
      <c r="R72" s="872">
        <f t="shared" si="8"/>
        <v>33061.865972076979</v>
      </c>
      <c r="S72" s="872">
        <f t="shared" si="8"/>
        <v>33061.865972076979</v>
      </c>
      <c r="T72" s="872">
        <f t="shared" si="8"/>
        <v>33061.865972076979</v>
      </c>
      <c r="U72" s="872">
        <f t="shared" si="8"/>
        <v>33061.865972076979</v>
      </c>
      <c r="V72" s="872">
        <f t="shared" si="8"/>
        <v>33061.865972076979</v>
      </c>
      <c r="W72" s="872">
        <f t="shared" si="8"/>
        <v>33061.865972076979</v>
      </c>
      <c r="X72" s="872">
        <f t="shared" si="8"/>
        <v>33061.865972076979</v>
      </c>
      <c r="Y72" s="872">
        <f t="shared" si="8"/>
        <v>33061.865972076979</v>
      </c>
      <c r="Z72" s="872">
        <f t="shared" si="8"/>
        <v>33061.865972076979</v>
      </c>
      <c r="AA72" s="872">
        <f t="shared" si="8"/>
        <v>33061.865972076979</v>
      </c>
      <c r="AB72" s="872">
        <f t="shared" si="8"/>
        <v>33061.865972076979</v>
      </c>
      <c r="AC72" s="872">
        <f t="shared" si="8"/>
        <v>33061.865972076979</v>
      </c>
      <c r="AD72" s="872">
        <f t="shared" si="8"/>
        <v>33061.865972076979</v>
      </c>
      <c r="AE72" s="872">
        <f t="shared" si="8"/>
        <v>33061.865972076979</v>
      </c>
      <c r="AF72" s="872">
        <f t="shared" si="8"/>
        <v>33061.865972076979</v>
      </c>
      <c r="AG72" s="872">
        <f t="shared" si="8"/>
        <v>33061.865972076979</v>
      </c>
      <c r="AH72" s="872">
        <f t="shared" si="8"/>
        <v>33061.865972076979</v>
      </c>
      <c r="AI72" s="872">
        <f t="shared" si="8"/>
        <v>33061.865972076979</v>
      </c>
      <c r="AJ72" s="872">
        <f t="shared" si="8"/>
        <v>33061.865972076979</v>
      </c>
      <c r="AK72" s="872">
        <f t="shared" si="8"/>
        <v>33061.865972076979</v>
      </c>
      <c r="AL72" s="872">
        <f t="shared" si="8"/>
        <v>33061.865972076979</v>
      </c>
      <c r="AM72" s="484"/>
      <c r="AN72" s="486">
        <f t="shared" si="5"/>
        <v>0</v>
      </c>
      <c r="AO72" s="484"/>
      <c r="AP72" s="484"/>
      <c r="AQ72" s="484"/>
      <c r="AR72" s="484"/>
      <c r="AS72" s="484"/>
      <c r="AT72" s="484"/>
      <c r="AU72" s="484"/>
      <c r="AV72" s="484"/>
    </row>
    <row r="73" spans="2:87" ht="13.5" thickBot="1">
      <c r="D73" s="874"/>
      <c r="G73" s="482">
        <f>SUM(G70:G72)</f>
        <v>20517119.663628098</v>
      </c>
      <c r="H73" s="183" t="e">
        <f t="shared" ref="H73:AL73" si="9">SUM(H70:H72)</f>
        <v>#REF!</v>
      </c>
      <c r="I73" s="491">
        <f t="shared" si="9"/>
        <v>563262.22957299976</v>
      </c>
      <c r="J73" s="491">
        <f t="shared" si="9"/>
        <v>345639.16425320646</v>
      </c>
      <c r="K73" s="491">
        <f t="shared" si="9"/>
        <v>302337.51106105704</v>
      </c>
      <c r="L73" s="491">
        <f t="shared" si="9"/>
        <v>1393737.2138793978</v>
      </c>
      <c r="M73" s="491">
        <f t="shared" si="9"/>
        <v>5209890.1252055857</v>
      </c>
      <c r="N73" s="491">
        <f t="shared" si="9"/>
        <v>727898.33131925284</v>
      </c>
      <c r="O73" s="491">
        <f t="shared" si="9"/>
        <v>1713105.5265664214</v>
      </c>
      <c r="P73" s="491">
        <f t="shared" si="9"/>
        <v>1191741.8254753242</v>
      </c>
      <c r="Q73" s="491">
        <f t="shared" si="9"/>
        <v>1924165.9188391753</v>
      </c>
      <c r="R73" s="491">
        <f t="shared" si="9"/>
        <v>999778.07055976056</v>
      </c>
      <c r="S73" s="491">
        <f t="shared" si="9"/>
        <v>2653505.4796216656</v>
      </c>
      <c r="T73" s="491">
        <f t="shared" si="9"/>
        <v>2353010.2054911945</v>
      </c>
      <c r="U73" s="491">
        <f t="shared" si="9"/>
        <v>68386.753752136574</v>
      </c>
      <c r="V73" s="491">
        <f t="shared" si="9"/>
        <v>68386.753752136574</v>
      </c>
      <c r="W73" s="491">
        <f t="shared" si="9"/>
        <v>68386.753752136574</v>
      </c>
      <c r="X73" s="491">
        <f t="shared" si="9"/>
        <v>63098.753752136574</v>
      </c>
      <c r="Y73" s="491">
        <f t="shared" si="9"/>
        <v>63098.753752136574</v>
      </c>
      <c r="Z73" s="491">
        <f t="shared" si="9"/>
        <v>63098.753752136574</v>
      </c>
      <c r="AA73" s="491">
        <f t="shared" si="9"/>
        <v>63098.753752136574</v>
      </c>
      <c r="AB73" s="491">
        <f t="shared" si="9"/>
        <v>63098.753752136574</v>
      </c>
      <c r="AC73" s="491">
        <f t="shared" si="9"/>
        <v>68793.753752136574</v>
      </c>
      <c r="AD73" s="491">
        <f t="shared" si="9"/>
        <v>59438.753752136574</v>
      </c>
      <c r="AE73" s="491">
        <f t="shared" si="9"/>
        <v>59438.753752136574</v>
      </c>
      <c r="AF73" s="491">
        <f t="shared" si="9"/>
        <v>59438.753752136574</v>
      </c>
      <c r="AG73" s="491">
        <f t="shared" si="9"/>
        <v>59438.753752136574</v>
      </c>
      <c r="AH73" s="491">
        <f t="shared" si="9"/>
        <v>68793.753752136574</v>
      </c>
      <c r="AI73" s="491">
        <f t="shared" si="9"/>
        <v>60252.753752136574</v>
      </c>
      <c r="AJ73" s="491">
        <f t="shared" si="9"/>
        <v>61066.753752136574</v>
      </c>
      <c r="AK73" s="491">
        <f t="shared" si="9"/>
        <v>62284.753752136574</v>
      </c>
      <c r="AL73" s="491">
        <f t="shared" si="9"/>
        <v>59447.247996732927</v>
      </c>
      <c r="AM73" s="484"/>
      <c r="AN73" s="486">
        <f t="shared" si="5"/>
        <v>-3.3527612686157227E-8</v>
      </c>
      <c r="AO73" s="484"/>
      <c r="AP73" s="484"/>
      <c r="AQ73" s="484"/>
      <c r="AR73" s="484"/>
      <c r="AS73" s="484"/>
      <c r="AT73" s="484"/>
      <c r="AU73" s="484"/>
      <c r="AV73" s="484"/>
    </row>
    <row r="74" spans="2:87" ht="13.5" thickBot="1">
      <c r="G74" s="183"/>
      <c r="AM74" s="484"/>
      <c r="AN74" s="486">
        <f t="shared" si="5"/>
        <v>0</v>
      </c>
      <c r="AO74" s="484"/>
      <c r="AP74" s="484"/>
      <c r="AQ74" s="484"/>
      <c r="AR74" s="484"/>
      <c r="AS74" s="484"/>
      <c r="AT74" s="484"/>
      <c r="AU74" s="484"/>
      <c r="AV74" s="484"/>
    </row>
    <row r="75" spans="2:87">
      <c r="AM75" s="484"/>
      <c r="AO75" s="484"/>
      <c r="AP75" s="484"/>
      <c r="AQ75" s="484"/>
      <c r="AR75" s="484"/>
      <c r="AS75" s="484"/>
      <c r="AT75" s="484"/>
      <c r="AU75" s="484"/>
      <c r="AV75" s="484"/>
    </row>
    <row r="76" spans="2:87">
      <c r="AM76" s="484"/>
      <c r="AO76" s="484"/>
      <c r="AP76" s="484"/>
      <c r="AQ76" s="484"/>
      <c r="AR76" s="484"/>
      <c r="AS76" s="484"/>
      <c r="AT76" s="484"/>
      <c r="AU76" s="484"/>
      <c r="AV76" s="484"/>
    </row>
  </sheetData>
  <conditionalFormatting sqref="I17 K17 M17:N17 P17 R17:T17 V17 X17:Z17 AB17 AD17:AE17 AG17:AH17 AJ17 AL17">
    <cfRule type="cellIs" dxfId="3" priority="2" stopIfTrue="1" operator="equal">
      <formula>"N"</formula>
    </cfRule>
  </conditionalFormatting>
  <conditionalFormatting sqref="I21 K21 M21:N21 P21 R21:T21 V21 X21:Z21 AB21 AD21:AE21 AG21:AH21 AJ21 AL21">
    <cfRule type="cellIs" dxfId="2" priority="3" stopIfTrue="1" operator="equal">
      <formula>"N"</formula>
    </cfRule>
  </conditionalFormatting>
  <conditionalFormatting sqref="I69 K69 M69:N69 P69 R69:T69 V69 X69:Z69 AB69 AD69:AE69 AG69:AH69 AJ69 AL69">
    <cfRule type="cellIs" dxfId="1" priority="7" stopIfTrue="1" operator="equal">
      <formula>"N"</formula>
    </cfRule>
  </conditionalFormatting>
  <conditionalFormatting sqref="I2:AK2 I3:AL3">
    <cfRule type="cellIs" dxfId="0" priority="9" stopIfTrue="1" operator="equal">
      <formula>"N"</formula>
    </cfRule>
  </conditionalFormatting>
  <dataValidations count="1">
    <dataValidation type="list" allowBlank="1" showInputMessage="1" showErrorMessage="1" sqref="A65301:A65390 IW65301:IW65390 SS65301:SS65390 ACO65301:ACO65390 AMK65301:AMK65390 AWG65301:AWG65390 BGC65301:BGC65390 BPY65301:BPY65390 BZU65301:BZU65390 CJQ65301:CJQ65390 CTM65301:CTM65390 DDI65301:DDI65390 DNE65301:DNE65390 DXA65301:DXA65390 EGW65301:EGW65390 EQS65301:EQS65390 FAO65301:FAO65390 FKK65301:FKK65390 FUG65301:FUG65390 GEC65301:GEC65390 GNY65301:GNY65390 GXU65301:GXU65390 HHQ65301:HHQ65390 HRM65301:HRM65390 IBI65301:IBI65390 ILE65301:ILE65390 IVA65301:IVA65390 JEW65301:JEW65390 JOS65301:JOS65390 JYO65301:JYO65390 KIK65301:KIK65390 KSG65301:KSG65390 LCC65301:LCC65390 LLY65301:LLY65390 LVU65301:LVU65390 MFQ65301:MFQ65390 MPM65301:MPM65390 MZI65301:MZI65390 NJE65301:NJE65390 NTA65301:NTA65390 OCW65301:OCW65390 OMS65301:OMS65390 OWO65301:OWO65390 PGK65301:PGK65390 PQG65301:PQG65390 QAC65301:QAC65390 QJY65301:QJY65390 QTU65301:QTU65390 RDQ65301:RDQ65390 RNM65301:RNM65390 RXI65301:RXI65390 SHE65301:SHE65390 SRA65301:SRA65390 TAW65301:TAW65390 TKS65301:TKS65390 TUO65301:TUO65390 UEK65301:UEK65390 UOG65301:UOG65390 UYC65301:UYC65390 VHY65301:VHY65390 VRU65301:VRU65390 WBQ65301:WBQ65390 WLM65301:WLM65390 WVI65301:WVI65390 A130837:A130926 IW130837:IW130926 SS130837:SS130926 ACO130837:ACO130926 AMK130837:AMK130926 AWG130837:AWG130926 BGC130837:BGC130926 BPY130837:BPY130926 BZU130837:BZU130926 CJQ130837:CJQ130926 CTM130837:CTM130926 DDI130837:DDI130926 DNE130837:DNE130926 DXA130837:DXA130926 EGW130837:EGW130926 EQS130837:EQS130926 FAO130837:FAO130926 FKK130837:FKK130926 FUG130837:FUG130926 GEC130837:GEC130926 GNY130837:GNY130926 GXU130837:GXU130926 HHQ130837:HHQ130926 HRM130837:HRM130926 IBI130837:IBI130926 ILE130837:ILE130926 IVA130837:IVA130926 JEW130837:JEW130926 JOS130837:JOS130926 JYO130837:JYO130926 KIK130837:KIK130926 KSG130837:KSG130926 LCC130837:LCC130926 LLY130837:LLY130926 LVU130837:LVU130926 MFQ130837:MFQ130926 MPM130837:MPM130926 MZI130837:MZI130926 NJE130837:NJE130926 NTA130837:NTA130926 OCW130837:OCW130926 OMS130837:OMS130926 OWO130837:OWO130926 PGK130837:PGK130926 PQG130837:PQG130926 QAC130837:QAC130926 QJY130837:QJY130926 QTU130837:QTU130926 RDQ130837:RDQ130926 RNM130837:RNM130926 RXI130837:RXI130926 SHE130837:SHE130926 SRA130837:SRA130926 TAW130837:TAW130926 TKS130837:TKS130926 TUO130837:TUO130926 UEK130837:UEK130926 UOG130837:UOG130926 UYC130837:UYC130926 VHY130837:VHY130926 VRU130837:VRU130926 WBQ130837:WBQ130926 WLM130837:WLM130926 WVI130837:WVI130926 A196373:A196462 IW196373:IW196462 SS196373:SS196462 ACO196373:ACO196462 AMK196373:AMK196462 AWG196373:AWG196462 BGC196373:BGC196462 BPY196373:BPY196462 BZU196373:BZU196462 CJQ196373:CJQ196462 CTM196373:CTM196462 DDI196373:DDI196462 DNE196373:DNE196462 DXA196373:DXA196462 EGW196373:EGW196462 EQS196373:EQS196462 FAO196373:FAO196462 FKK196373:FKK196462 FUG196373:FUG196462 GEC196373:GEC196462 GNY196373:GNY196462 GXU196373:GXU196462 HHQ196373:HHQ196462 HRM196373:HRM196462 IBI196373:IBI196462 ILE196373:ILE196462 IVA196373:IVA196462 JEW196373:JEW196462 JOS196373:JOS196462 JYO196373:JYO196462 KIK196373:KIK196462 KSG196373:KSG196462 LCC196373:LCC196462 LLY196373:LLY196462 LVU196373:LVU196462 MFQ196373:MFQ196462 MPM196373:MPM196462 MZI196373:MZI196462 NJE196373:NJE196462 NTA196373:NTA196462 OCW196373:OCW196462 OMS196373:OMS196462 OWO196373:OWO196462 PGK196373:PGK196462 PQG196373:PQG196462 QAC196373:QAC196462 QJY196373:QJY196462 QTU196373:QTU196462 RDQ196373:RDQ196462 RNM196373:RNM196462 RXI196373:RXI196462 SHE196373:SHE196462 SRA196373:SRA196462 TAW196373:TAW196462 TKS196373:TKS196462 TUO196373:TUO196462 UEK196373:UEK196462 UOG196373:UOG196462 UYC196373:UYC196462 VHY196373:VHY196462 VRU196373:VRU196462 WBQ196373:WBQ196462 WLM196373:WLM196462 WVI196373:WVI196462 A261909:A261998 IW261909:IW261998 SS261909:SS261998 ACO261909:ACO261998 AMK261909:AMK261998 AWG261909:AWG261998 BGC261909:BGC261998 BPY261909:BPY261998 BZU261909:BZU261998 CJQ261909:CJQ261998 CTM261909:CTM261998 DDI261909:DDI261998 DNE261909:DNE261998 DXA261909:DXA261998 EGW261909:EGW261998 EQS261909:EQS261998 FAO261909:FAO261998 FKK261909:FKK261998 FUG261909:FUG261998 GEC261909:GEC261998 GNY261909:GNY261998 GXU261909:GXU261998 HHQ261909:HHQ261998 HRM261909:HRM261998 IBI261909:IBI261998 ILE261909:ILE261998 IVA261909:IVA261998 JEW261909:JEW261998 JOS261909:JOS261998 JYO261909:JYO261998 KIK261909:KIK261998 KSG261909:KSG261998 LCC261909:LCC261998 LLY261909:LLY261998 LVU261909:LVU261998 MFQ261909:MFQ261998 MPM261909:MPM261998 MZI261909:MZI261998 NJE261909:NJE261998 NTA261909:NTA261998 OCW261909:OCW261998 OMS261909:OMS261998 OWO261909:OWO261998 PGK261909:PGK261998 PQG261909:PQG261998 QAC261909:QAC261998 QJY261909:QJY261998 QTU261909:QTU261998 RDQ261909:RDQ261998 RNM261909:RNM261998 RXI261909:RXI261998 SHE261909:SHE261998 SRA261909:SRA261998 TAW261909:TAW261998 TKS261909:TKS261998 TUO261909:TUO261998 UEK261909:UEK261998 UOG261909:UOG261998 UYC261909:UYC261998 VHY261909:VHY261998 VRU261909:VRU261998 WBQ261909:WBQ261998 WLM261909:WLM261998 WVI261909:WVI261998 A327445:A327534 IW327445:IW327534 SS327445:SS327534 ACO327445:ACO327534 AMK327445:AMK327534 AWG327445:AWG327534 BGC327445:BGC327534 BPY327445:BPY327534 BZU327445:BZU327534 CJQ327445:CJQ327534 CTM327445:CTM327534 DDI327445:DDI327534 DNE327445:DNE327534 DXA327445:DXA327534 EGW327445:EGW327534 EQS327445:EQS327534 FAO327445:FAO327534 FKK327445:FKK327534 FUG327445:FUG327534 GEC327445:GEC327534 GNY327445:GNY327534 GXU327445:GXU327534 HHQ327445:HHQ327534 HRM327445:HRM327534 IBI327445:IBI327534 ILE327445:ILE327534 IVA327445:IVA327534 JEW327445:JEW327534 JOS327445:JOS327534 JYO327445:JYO327534 KIK327445:KIK327534 KSG327445:KSG327534 LCC327445:LCC327534 LLY327445:LLY327534 LVU327445:LVU327534 MFQ327445:MFQ327534 MPM327445:MPM327534 MZI327445:MZI327534 NJE327445:NJE327534 NTA327445:NTA327534 OCW327445:OCW327534 OMS327445:OMS327534 OWO327445:OWO327534 PGK327445:PGK327534 PQG327445:PQG327534 QAC327445:QAC327534 QJY327445:QJY327534 QTU327445:QTU327534 RDQ327445:RDQ327534 RNM327445:RNM327534 RXI327445:RXI327534 SHE327445:SHE327534 SRA327445:SRA327534 TAW327445:TAW327534 TKS327445:TKS327534 TUO327445:TUO327534 UEK327445:UEK327534 UOG327445:UOG327534 UYC327445:UYC327534 VHY327445:VHY327534 VRU327445:VRU327534 WBQ327445:WBQ327534 WLM327445:WLM327534 WVI327445:WVI327534 A392981:A393070 IW392981:IW393070 SS392981:SS393070 ACO392981:ACO393070 AMK392981:AMK393070 AWG392981:AWG393070 BGC392981:BGC393070 BPY392981:BPY393070 BZU392981:BZU393070 CJQ392981:CJQ393070 CTM392981:CTM393070 DDI392981:DDI393070 DNE392981:DNE393070 DXA392981:DXA393070 EGW392981:EGW393070 EQS392981:EQS393070 FAO392981:FAO393070 FKK392981:FKK393070 FUG392981:FUG393070 GEC392981:GEC393070 GNY392981:GNY393070 GXU392981:GXU393070 HHQ392981:HHQ393070 HRM392981:HRM393070 IBI392981:IBI393070 ILE392981:ILE393070 IVA392981:IVA393070 JEW392981:JEW393070 JOS392981:JOS393070 JYO392981:JYO393070 KIK392981:KIK393070 KSG392981:KSG393070 LCC392981:LCC393070 LLY392981:LLY393070 LVU392981:LVU393070 MFQ392981:MFQ393070 MPM392981:MPM393070 MZI392981:MZI393070 NJE392981:NJE393070 NTA392981:NTA393070 OCW392981:OCW393070 OMS392981:OMS393070 OWO392981:OWO393070 PGK392981:PGK393070 PQG392981:PQG393070 QAC392981:QAC393070 QJY392981:QJY393070 QTU392981:QTU393070 RDQ392981:RDQ393070 RNM392981:RNM393070 RXI392981:RXI393070 SHE392981:SHE393070 SRA392981:SRA393070 TAW392981:TAW393070 TKS392981:TKS393070 TUO392981:TUO393070 UEK392981:UEK393070 UOG392981:UOG393070 UYC392981:UYC393070 VHY392981:VHY393070 VRU392981:VRU393070 WBQ392981:WBQ393070 WLM392981:WLM393070 WVI392981:WVI393070 A458517:A458606 IW458517:IW458606 SS458517:SS458606 ACO458517:ACO458606 AMK458517:AMK458606 AWG458517:AWG458606 BGC458517:BGC458606 BPY458517:BPY458606 BZU458517:BZU458606 CJQ458517:CJQ458606 CTM458517:CTM458606 DDI458517:DDI458606 DNE458517:DNE458606 DXA458517:DXA458606 EGW458517:EGW458606 EQS458517:EQS458606 FAO458517:FAO458606 FKK458517:FKK458606 FUG458517:FUG458606 GEC458517:GEC458606 GNY458517:GNY458606 GXU458517:GXU458606 HHQ458517:HHQ458606 HRM458517:HRM458606 IBI458517:IBI458606 ILE458517:ILE458606 IVA458517:IVA458606 JEW458517:JEW458606 JOS458517:JOS458606 JYO458517:JYO458606 KIK458517:KIK458606 KSG458517:KSG458606 LCC458517:LCC458606 LLY458517:LLY458606 LVU458517:LVU458606 MFQ458517:MFQ458606 MPM458517:MPM458606 MZI458517:MZI458606 NJE458517:NJE458606 NTA458517:NTA458606 OCW458517:OCW458606 OMS458517:OMS458606 OWO458517:OWO458606 PGK458517:PGK458606 PQG458517:PQG458606 QAC458517:QAC458606 QJY458517:QJY458606 QTU458517:QTU458606 RDQ458517:RDQ458606 RNM458517:RNM458606 RXI458517:RXI458606 SHE458517:SHE458606 SRA458517:SRA458606 TAW458517:TAW458606 TKS458517:TKS458606 TUO458517:TUO458606 UEK458517:UEK458606 UOG458517:UOG458606 UYC458517:UYC458606 VHY458517:VHY458606 VRU458517:VRU458606 WBQ458517:WBQ458606 WLM458517:WLM458606 WVI458517:WVI458606 A524053:A524142 IW524053:IW524142 SS524053:SS524142 ACO524053:ACO524142 AMK524053:AMK524142 AWG524053:AWG524142 BGC524053:BGC524142 BPY524053:BPY524142 BZU524053:BZU524142 CJQ524053:CJQ524142 CTM524053:CTM524142 DDI524053:DDI524142 DNE524053:DNE524142 DXA524053:DXA524142 EGW524053:EGW524142 EQS524053:EQS524142 FAO524053:FAO524142 FKK524053:FKK524142 FUG524053:FUG524142 GEC524053:GEC524142 GNY524053:GNY524142 GXU524053:GXU524142 HHQ524053:HHQ524142 HRM524053:HRM524142 IBI524053:IBI524142 ILE524053:ILE524142 IVA524053:IVA524142 JEW524053:JEW524142 JOS524053:JOS524142 JYO524053:JYO524142 KIK524053:KIK524142 KSG524053:KSG524142 LCC524053:LCC524142 LLY524053:LLY524142 LVU524053:LVU524142 MFQ524053:MFQ524142 MPM524053:MPM524142 MZI524053:MZI524142 NJE524053:NJE524142 NTA524053:NTA524142 OCW524053:OCW524142 OMS524053:OMS524142 OWO524053:OWO524142 PGK524053:PGK524142 PQG524053:PQG524142 QAC524053:QAC524142 QJY524053:QJY524142 QTU524053:QTU524142 RDQ524053:RDQ524142 RNM524053:RNM524142 RXI524053:RXI524142 SHE524053:SHE524142 SRA524053:SRA524142 TAW524053:TAW524142 TKS524053:TKS524142 TUO524053:TUO524142 UEK524053:UEK524142 UOG524053:UOG524142 UYC524053:UYC524142 VHY524053:VHY524142 VRU524053:VRU524142 WBQ524053:WBQ524142 WLM524053:WLM524142 WVI524053:WVI524142 A589589:A589678 IW589589:IW589678 SS589589:SS589678 ACO589589:ACO589678 AMK589589:AMK589678 AWG589589:AWG589678 BGC589589:BGC589678 BPY589589:BPY589678 BZU589589:BZU589678 CJQ589589:CJQ589678 CTM589589:CTM589678 DDI589589:DDI589678 DNE589589:DNE589678 DXA589589:DXA589678 EGW589589:EGW589678 EQS589589:EQS589678 FAO589589:FAO589678 FKK589589:FKK589678 FUG589589:FUG589678 GEC589589:GEC589678 GNY589589:GNY589678 GXU589589:GXU589678 HHQ589589:HHQ589678 HRM589589:HRM589678 IBI589589:IBI589678 ILE589589:ILE589678 IVA589589:IVA589678 JEW589589:JEW589678 JOS589589:JOS589678 JYO589589:JYO589678 KIK589589:KIK589678 KSG589589:KSG589678 LCC589589:LCC589678 LLY589589:LLY589678 LVU589589:LVU589678 MFQ589589:MFQ589678 MPM589589:MPM589678 MZI589589:MZI589678 NJE589589:NJE589678 NTA589589:NTA589678 OCW589589:OCW589678 OMS589589:OMS589678 OWO589589:OWO589678 PGK589589:PGK589678 PQG589589:PQG589678 QAC589589:QAC589678 QJY589589:QJY589678 QTU589589:QTU589678 RDQ589589:RDQ589678 RNM589589:RNM589678 RXI589589:RXI589678 SHE589589:SHE589678 SRA589589:SRA589678 TAW589589:TAW589678 TKS589589:TKS589678 TUO589589:TUO589678 UEK589589:UEK589678 UOG589589:UOG589678 UYC589589:UYC589678 VHY589589:VHY589678 VRU589589:VRU589678 WBQ589589:WBQ589678 WLM589589:WLM589678 WVI589589:WVI589678 A655125:A655214 IW655125:IW655214 SS655125:SS655214 ACO655125:ACO655214 AMK655125:AMK655214 AWG655125:AWG655214 BGC655125:BGC655214 BPY655125:BPY655214 BZU655125:BZU655214 CJQ655125:CJQ655214 CTM655125:CTM655214 DDI655125:DDI655214 DNE655125:DNE655214 DXA655125:DXA655214 EGW655125:EGW655214 EQS655125:EQS655214 FAO655125:FAO655214 FKK655125:FKK655214 FUG655125:FUG655214 GEC655125:GEC655214 GNY655125:GNY655214 GXU655125:GXU655214 HHQ655125:HHQ655214 HRM655125:HRM655214 IBI655125:IBI655214 ILE655125:ILE655214 IVA655125:IVA655214 JEW655125:JEW655214 JOS655125:JOS655214 JYO655125:JYO655214 KIK655125:KIK655214 KSG655125:KSG655214 LCC655125:LCC655214 LLY655125:LLY655214 LVU655125:LVU655214 MFQ655125:MFQ655214 MPM655125:MPM655214 MZI655125:MZI655214 NJE655125:NJE655214 NTA655125:NTA655214 OCW655125:OCW655214 OMS655125:OMS655214 OWO655125:OWO655214 PGK655125:PGK655214 PQG655125:PQG655214 QAC655125:QAC655214 QJY655125:QJY655214 QTU655125:QTU655214 RDQ655125:RDQ655214 RNM655125:RNM655214 RXI655125:RXI655214 SHE655125:SHE655214 SRA655125:SRA655214 TAW655125:TAW655214 TKS655125:TKS655214 TUO655125:TUO655214 UEK655125:UEK655214 UOG655125:UOG655214 UYC655125:UYC655214 VHY655125:VHY655214 VRU655125:VRU655214 WBQ655125:WBQ655214 WLM655125:WLM655214 WVI655125:WVI655214 A720661:A720750 IW720661:IW720750 SS720661:SS720750 ACO720661:ACO720750 AMK720661:AMK720750 AWG720661:AWG720750 BGC720661:BGC720750 BPY720661:BPY720750 BZU720661:BZU720750 CJQ720661:CJQ720750 CTM720661:CTM720750 DDI720661:DDI720750 DNE720661:DNE720750 DXA720661:DXA720750 EGW720661:EGW720750 EQS720661:EQS720750 FAO720661:FAO720750 FKK720661:FKK720750 FUG720661:FUG720750 GEC720661:GEC720750 GNY720661:GNY720750 GXU720661:GXU720750 HHQ720661:HHQ720750 HRM720661:HRM720750 IBI720661:IBI720750 ILE720661:ILE720750 IVA720661:IVA720750 JEW720661:JEW720750 JOS720661:JOS720750 JYO720661:JYO720750 KIK720661:KIK720750 KSG720661:KSG720750 LCC720661:LCC720750 LLY720661:LLY720750 LVU720661:LVU720750 MFQ720661:MFQ720750 MPM720661:MPM720750 MZI720661:MZI720750 NJE720661:NJE720750 NTA720661:NTA720750 OCW720661:OCW720750 OMS720661:OMS720750 OWO720661:OWO720750 PGK720661:PGK720750 PQG720661:PQG720750 QAC720661:QAC720750 QJY720661:QJY720750 QTU720661:QTU720750 RDQ720661:RDQ720750 RNM720661:RNM720750 RXI720661:RXI720750 SHE720661:SHE720750 SRA720661:SRA720750 TAW720661:TAW720750 TKS720661:TKS720750 TUO720661:TUO720750 UEK720661:UEK720750 UOG720661:UOG720750 UYC720661:UYC720750 VHY720661:VHY720750 VRU720661:VRU720750 WBQ720661:WBQ720750 WLM720661:WLM720750 WVI720661:WVI720750 A786197:A786286 IW786197:IW786286 SS786197:SS786286 ACO786197:ACO786286 AMK786197:AMK786286 AWG786197:AWG786286 BGC786197:BGC786286 BPY786197:BPY786286 BZU786197:BZU786286 CJQ786197:CJQ786286 CTM786197:CTM786286 DDI786197:DDI786286 DNE786197:DNE786286 DXA786197:DXA786286 EGW786197:EGW786286 EQS786197:EQS786286 FAO786197:FAO786286 FKK786197:FKK786286 FUG786197:FUG786286 GEC786197:GEC786286 GNY786197:GNY786286 GXU786197:GXU786286 HHQ786197:HHQ786286 HRM786197:HRM786286 IBI786197:IBI786286 ILE786197:ILE786286 IVA786197:IVA786286 JEW786197:JEW786286 JOS786197:JOS786286 JYO786197:JYO786286 KIK786197:KIK786286 KSG786197:KSG786286 LCC786197:LCC786286 LLY786197:LLY786286 LVU786197:LVU786286 MFQ786197:MFQ786286 MPM786197:MPM786286 MZI786197:MZI786286 NJE786197:NJE786286 NTA786197:NTA786286 OCW786197:OCW786286 OMS786197:OMS786286 OWO786197:OWO786286 PGK786197:PGK786286 PQG786197:PQG786286 QAC786197:QAC786286 QJY786197:QJY786286 QTU786197:QTU786286 RDQ786197:RDQ786286 RNM786197:RNM786286 RXI786197:RXI786286 SHE786197:SHE786286 SRA786197:SRA786286 TAW786197:TAW786286 TKS786197:TKS786286 TUO786197:TUO786286 UEK786197:UEK786286 UOG786197:UOG786286 UYC786197:UYC786286 VHY786197:VHY786286 VRU786197:VRU786286 WBQ786197:WBQ786286 WLM786197:WLM786286 WVI786197:WVI786286 A851733:A851822 IW851733:IW851822 SS851733:SS851822 ACO851733:ACO851822 AMK851733:AMK851822 AWG851733:AWG851822 BGC851733:BGC851822 BPY851733:BPY851822 BZU851733:BZU851822 CJQ851733:CJQ851822 CTM851733:CTM851822 DDI851733:DDI851822 DNE851733:DNE851822 DXA851733:DXA851822 EGW851733:EGW851822 EQS851733:EQS851822 FAO851733:FAO851822 FKK851733:FKK851822 FUG851733:FUG851822 GEC851733:GEC851822 GNY851733:GNY851822 GXU851733:GXU851822 HHQ851733:HHQ851822 HRM851733:HRM851822 IBI851733:IBI851822 ILE851733:ILE851822 IVA851733:IVA851822 JEW851733:JEW851822 JOS851733:JOS851822 JYO851733:JYO851822 KIK851733:KIK851822 KSG851733:KSG851822 LCC851733:LCC851822 LLY851733:LLY851822 LVU851733:LVU851822 MFQ851733:MFQ851822 MPM851733:MPM851822 MZI851733:MZI851822 NJE851733:NJE851822 NTA851733:NTA851822 OCW851733:OCW851822 OMS851733:OMS851822 OWO851733:OWO851822 PGK851733:PGK851822 PQG851733:PQG851822 QAC851733:QAC851822 QJY851733:QJY851822 QTU851733:QTU851822 RDQ851733:RDQ851822 RNM851733:RNM851822 RXI851733:RXI851822 SHE851733:SHE851822 SRA851733:SRA851822 TAW851733:TAW851822 TKS851733:TKS851822 TUO851733:TUO851822 UEK851733:UEK851822 UOG851733:UOG851822 UYC851733:UYC851822 VHY851733:VHY851822 VRU851733:VRU851822 WBQ851733:WBQ851822 WLM851733:WLM851822 WVI851733:WVI851822 A917269:A917358 IW917269:IW917358 SS917269:SS917358 ACO917269:ACO917358 AMK917269:AMK917358 AWG917269:AWG917358 BGC917269:BGC917358 BPY917269:BPY917358 BZU917269:BZU917358 CJQ917269:CJQ917358 CTM917269:CTM917358 DDI917269:DDI917358 DNE917269:DNE917358 DXA917269:DXA917358 EGW917269:EGW917358 EQS917269:EQS917358 FAO917269:FAO917358 FKK917269:FKK917358 FUG917269:FUG917358 GEC917269:GEC917358 GNY917269:GNY917358 GXU917269:GXU917358 HHQ917269:HHQ917358 HRM917269:HRM917358 IBI917269:IBI917358 ILE917269:ILE917358 IVA917269:IVA917358 JEW917269:JEW917358 JOS917269:JOS917358 JYO917269:JYO917358 KIK917269:KIK917358 KSG917269:KSG917358 LCC917269:LCC917358 LLY917269:LLY917358 LVU917269:LVU917358 MFQ917269:MFQ917358 MPM917269:MPM917358 MZI917269:MZI917358 NJE917269:NJE917358 NTA917269:NTA917358 OCW917269:OCW917358 OMS917269:OMS917358 OWO917269:OWO917358 PGK917269:PGK917358 PQG917269:PQG917358 QAC917269:QAC917358 QJY917269:QJY917358 QTU917269:QTU917358 RDQ917269:RDQ917358 RNM917269:RNM917358 RXI917269:RXI917358 SHE917269:SHE917358 SRA917269:SRA917358 TAW917269:TAW917358 TKS917269:TKS917358 TUO917269:TUO917358 UEK917269:UEK917358 UOG917269:UOG917358 UYC917269:UYC917358 VHY917269:VHY917358 VRU917269:VRU917358 WBQ917269:WBQ917358 WLM917269:WLM917358 WVI917269:WVI917358 A982805:A982894 IW982805:IW982894 SS982805:SS982894 ACO982805:ACO982894 AMK982805:AMK982894 AWG982805:AWG982894 BGC982805:BGC982894 BPY982805:BPY982894 BZU982805:BZU982894 CJQ982805:CJQ982894 CTM982805:CTM982894 DDI982805:DDI982894 DNE982805:DNE982894 DXA982805:DXA982894 EGW982805:EGW982894 EQS982805:EQS982894 FAO982805:FAO982894 FKK982805:FKK982894 FUG982805:FUG982894 GEC982805:GEC982894 GNY982805:GNY982894 GXU982805:GXU982894 HHQ982805:HHQ982894 HRM982805:HRM982894 IBI982805:IBI982894 ILE982805:ILE982894 IVA982805:IVA982894 JEW982805:JEW982894 JOS982805:JOS982894 JYO982805:JYO982894 KIK982805:KIK982894 KSG982805:KSG982894 LCC982805:LCC982894 LLY982805:LLY982894 LVU982805:LVU982894 MFQ982805:MFQ982894 MPM982805:MPM982894 MZI982805:MZI982894 NJE982805:NJE982894 NTA982805:NTA982894 OCW982805:OCW982894 OMS982805:OMS982894 OWO982805:OWO982894 PGK982805:PGK982894 PQG982805:PQG982894 QAC982805:QAC982894 QJY982805:QJY982894 QTU982805:QTU982894 RDQ982805:RDQ982894 RNM982805:RNM982894 RXI982805:RXI982894 SHE982805:SHE982894 SRA982805:SRA982894 TAW982805:TAW982894 TKS982805:TKS982894 TUO982805:TUO982894 UEK982805:UEK982894 UOG982805:UOG982894 UYC982805:UYC982894 VHY982805:VHY982894 VRU982805:VRU982894 WBQ982805:WBQ982894 WLM982805:WLM982894 WVI982805:WVI982894 A1048341:A1048430 IW1048341:IW1048430 SS1048341:SS1048430 ACO1048341:ACO1048430 AMK1048341:AMK1048430 AWG1048341:AWG1048430 BGC1048341:BGC1048430 BPY1048341:BPY1048430 BZU1048341:BZU1048430 CJQ1048341:CJQ1048430 CTM1048341:CTM1048430 DDI1048341:DDI1048430 DNE1048341:DNE1048430 DXA1048341:DXA1048430 EGW1048341:EGW1048430 EQS1048341:EQS1048430 FAO1048341:FAO1048430 FKK1048341:FKK1048430 FUG1048341:FUG1048430 GEC1048341:GEC1048430 GNY1048341:GNY1048430 GXU1048341:GXU1048430 HHQ1048341:HHQ1048430 HRM1048341:HRM1048430 IBI1048341:IBI1048430 ILE1048341:ILE1048430 IVA1048341:IVA1048430 JEW1048341:JEW1048430 JOS1048341:JOS1048430 JYO1048341:JYO1048430 KIK1048341:KIK1048430 KSG1048341:KSG1048430 LCC1048341:LCC1048430 LLY1048341:LLY1048430 LVU1048341:LVU1048430 MFQ1048341:MFQ1048430 MPM1048341:MPM1048430 MZI1048341:MZI1048430 NJE1048341:NJE1048430 NTA1048341:NTA1048430 OCW1048341:OCW1048430 OMS1048341:OMS1048430 OWO1048341:OWO1048430 PGK1048341:PGK1048430 PQG1048341:PQG1048430 QAC1048341:QAC1048430 QJY1048341:QJY1048430 QTU1048341:QTU1048430 RDQ1048341:RDQ1048430 RNM1048341:RNM1048430 RXI1048341:RXI1048430 SHE1048341:SHE1048430 SRA1048341:SRA1048430 TAW1048341:TAW1048430 TKS1048341:TKS1048430 TUO1048341:TUO1048430 UEK1048341:UEK1048430 UOG1048341:UOG1048430 UYC1048341:UYC1048430 VHY1048341:VHY1048430 VRU1048341:VRU1048430 WBQ1048341:WBQ1048430 WLM1048341:WLM1048430 WVI1048341:WVI1048430 A65535:A65585 IW65535:IW65585 SS65535:SS65585 ACO65535:ACO65585 AMK65535:AMK65585 AWG65535:AWG65585 BGC65535:BGC65585 BPY65535:BPY65585 BZU65535:BZU65585 CJQ65535:CJQ65585 CTM65535:CTM65585 DDI65535:DDI65585 DNE65535:DNE65585 DXA65535:DXA65585 EGW65535:EGW65585 EQS65535:EQS65585 FAO65535:FAO65585 FKK65535:FKK65585 FUG65535:FUG65585 GEC65535:GEC65585 GNY65535:GNY65585 GXU65535:GXU65585 HHQ65535:HHQ65585 HRM65535:HRM65585 IBI65535:IBI65585 ILE65535:ILE65585 IVA65535:IVA65585 JEW65535:JEW65585 JOS65535:JOS65585 JYO65535:JYO65585 KIK65535:KIK65585 KSG65535:KSG65585 LCC65535:LCC65585 LLY65535:LLY65585 LVU65535:LVU65585 MFQ65535:MFQ65585 MPM65535:MPM65585 MZI65535:MZI65585 NJE65535:NJE65585 NTA65535:NTA65585 OCW65535:OCW65585 OMS65535:OMS65585 OWO65535:OWO65585 PGK65535:PGK65585 PQG65535:PQG65585 QAC65535:QAC65585 QJY65535:QJY65585 QTU65535:QTU65585 RDQ65535:RDQ65585 RNM65535:RNM65585 RXI65535:RXI65585 SHE65535:SHE65585 SRA65535:SRA65585 TAW65535:TAW65585 TKS65535:TKS65585 TUO65535:TUO65585 UEK65535:UEK65585 UOG65535:UOG65585 UYC65535:UYC65585 VHY65535:VHY65585 VRU65535:VRU65585 WBQ65535:WBQ65585 WLM65535:WLM65585 WVI65535:WVI65585 A131071:A131121 IW131071:IW131121 SS131071:SS131121 ACO131071:ACO131121 AMK131071:AMK131121 AWG131071:AWG131121 BGC131071:BGC131121 BPY131071:BPY131121 BZU131071:BZU131121 CJQ131071:CJQ131121 CTM131071:CTM131121 DDI131071:DDI131121 DNE131071:DNE131121 DXA131071:DXA131121 EGW131071:EGW131121 EQS131071:EQS131121 FAO131071:FAO131121 FKK131071:FKK131121 FUG131071:FUG131121 GEC131071:GEC131121 GNY131071:GNY131121 GXU131071:GXU131121 HHQ131071:HHQ131121 HRM131071:HRM131121 IBI131071:IBI131121 ILE131071:ILE131121 IVA131071:IVA131121 JEW131071:JEW131121 JOS131071:JOS131121 JYO131071:JYO131121 KIK131071:KIK131121 KSG131071:KSG131121 LCC131071:LCC131121 LLY131071:LLY131121 LVU131071:LVU131121 MFQ131071:MFQ131121 MPM131071:MPM131121 MZI131071:MZI131121 NJE131071:NJE131121 NTA131071:NTA131121 OCW131071:OCW131121 OMS131071:OMS131121 OWO131071:OWO131121 PGK131071:PGK131121 PQG131071:PQG131121 QAC131071:QAC131121 QJY131071:QJY131121 QTU131071:QTU131121 RDQ131071:RDQ131121 RNM131071:RNM131121 RXI131071:RXI131121 SHE131071:SHE131121 SRA131071:SRA131121 TAW131071:TAW131121 TKS131071:TKS131121 TUO131071:TUO131121 UEK131071:UEK131121 UOG131071:UOG131121 UYC131071:UYC131121 VHY131071:VHY131121 VRU131071:VRU131121 WBQ131071:WBQ131121 WLM131071:WLM131121 WVI131071:WVI131121 A196607:A196657 IW196607:IW196657 SS196607:SS196657 ACO196607:ACO196657 AMK196607:AMK196657 AWG196607:AWG196657 BGC196607:BGC196657 BPY196607:BPY196657 BZU196607:BZU196657 CJQ196607:CJQ196657 CTM196607:CTM196657 DDI196607:DDI196657 DNE196607:DNE196657 DXA196607:DXA196657 EGW196607:EGW196657 EQS196607:EQS196657 FAO196607:FAO196657 FKK196607:FKK196657 FUG196607:FUG196657 GEC196607:GEC196657 GNY196607:GNY196657 GXU196607:GXU196657 HHQ196607:HHQ196657 HRM196607:HRM196657 IBI196607:IBI196657 ILE196607:ILE196657 IVA196607:IVA196657 JEW196607:JEW196657 JOS196607:JOS196657 JYO196607:JYO196657 KIK196607:KIK196657 KSG196607:KSG196657 LCC196607:LCC196657 LLY196607:LLY196657 LVU196607:LVU196657 MFQ196607:MFQ196657 MPM196607:MPM196657 MZI196607:MZI196657 NJE196607:NJE196657 NTA196607:NTA196657 OCW196607:OCW196657 OMS196607:OMS196657 OWO196607:OWO196657 PGK196607:PGK196657 PQG196607:PQG196657 QAC196607:QAC196657 QJY196607:QJY196657 QTU196607:QTU196657 RDQ196607:RDQ196657 RNM196607:RNM196657 RXI196607:RXI196657 SHE196607:SHE196657 SRA196607:SRA196657 TAW196607:TAW196657 TKS196607:TKS196657 TUO196607:TUO196657 UEK196607:UEK196657 UOG196607:UOG196657 UYC196607:UYC196657 VHY196607:VHY196657 VRU196607:VRU196657 WBQ196607:WBQ196657 WLM196607:WLM196657 WVI196607:WVI196657 A262143:A262193 IW262143:IW262193 SS262143:SS262193 ACO262143:ACO262193 AMK262143:AMK262193 AWG262143:AWG262193 BGC262143:BGC262193 BPY262143:BPY262193 BZU262143:BZU262193 CJQ262143:CJQ262193 CTM262143:CTM262193 DDI262143:DDI262193 DNE262143:DNE262193 DXA262143:DXA262193 EGW262143:EGW262193 EQS262143:EQS262193 FAO262143:FAO262193 FKK262143:FKK262193 FUG262143:FUG262193 GEC262143:GEC262193 GNY262143:GNY262193 GXU262143:GXU262193 HHQ262143:HHQ262193 HRM262143:HRM262193 IBI262143:IBI262193 ILE262143:ILE262193 IVA262143:IVA262193 JEW262143:JEW262193 JOS262143:JOS262193 JYO262143:JYO262193 KIK262143:KIK262193 KSG262143:KSG262193 LCC262143:LCC262193 LLY262143:LLY262193 LVU262143:LVU262193 MFQ262143:MFQ262193 MPM262143:MPM262193 MZI262143:MZI262193 NJE262143:NJE262193 NTA262143:NTA262193 OCW262143:OCW262193 OMS262143:OMS262193 OWO262143:OWO262193 PGK262143:PGK262193 PQG262143:PQG262193 QAC262143:QAC262193 QJY262143:QJY262193 QTU262143:QTU262193 RDQ262143:RDQ262193 RNM262143:RNM262193 RXI262143:RXI262193 SHE262143:SHE262193 SRA262143:SRA262193 TAW262143:TAW262193 TKS262143:TKS262193 TUO262143:TUO262193 UEK262143:UEK262193 UOG262143:UOG262193 UYC262143:UYC262193 VHY262143:VHY262193 VRU262143:VRU262193 WBQ262143:WBQ262193 WLM262143:WLM262193 WVI262143:WVI262193 A327679:A327729 IW327679:IW327729 SS327679:SS327729 ACO327679:ACO327729 AMK327679:AMK327729 AWG327679:AWG327729 BGC327679:BGC327729 BPY327679:BPY327729 BZU327679:BZU327729 CJQ327679:CJQ327729 CTM327679:CTM327729 DDI327679:DDI327729 DNE327679:DNE327729 DXA327679:DXA327729 EGW327679:EGW327729 EQS327679:EQS327729 FAO327679:FAO327729 FKK327679:FKK327729 FUG327679:FUG327729 GEC327679:GEC327729 GNY327679:GNY327729 GXU327679:GXU327729 HHQ327679:HHQ327729 HRM327679:HRM327729 IBI327679:IBI327729 ILE327679:ILE327729 IVA327679:IVA327729 JEW327679:JEW327729 JOS327679:JOS327729 JYO327679:JYO327729 KIK327679:KIK327729 KSG327679:KSG327729 LCC327679:LCC327729 LLY327679:LLY327729 LVU327679:LVU327729 MFQ327679:MFQ327729 MPM327679:MPM327729 MZI327679:MZI327729 NJE327679:NJE327729 NTA327679:NTA327729 OCW327679:OCW327729 OMS327679:OMS327729 OWO327679:OWO327729 PGK327679:PGK327729 PQG327679:PQG327729 QAC327679:QAC327729 QJY327679:QJY327729 QTU327679:QTU327729 RDQ327679:RDQ327729 RNM327679:RNM327729 RXI327679:RXI327729 SHE327679:SHE327729 SRA327679:SRA327729 TAW327679:TAW327729 TKS327679:TKS327729 TUO327679:TUO327729 UEK327679:UEK327729 UOG327679:UOG327729 UYC327679:UYC327729 VHY327679:VHY327729 VRU327679:VRU327729 WBQ327679:WBQ327729 WLM327679:WLM327729 WVI327679:WVI327729 A393215:A393265 IW393215:IW393265 SS393215:SS393265 ACO393215:ACO393265 AMK393215:AMK393265 AWG393215:AWG393265 BGC393215:BGC393265 BPY393215:BPY393265 BZU393215:BZU393265 CJQ393215:CJQ393265 CTM393215:CTM393265 DDI393215:DDI393265 DNE393215:DNE393265 DXA393215:DXA393265 EGW393215:EGW393265 EQS393215:EQS393265 FAO393215:FAO393265 FKK393215:FKK393265 FUG393215:FUG393265 GEC393215:GEC393265 GNY393215:GNY393265 GXU393215:GXU393265 HHQ393215:HHQ393265 HRM393215:HRM393265 IBI393215:IBI393265 ILE393215:ILE393265 IVA393215:IVA393265 JEW393215:JEW393265 JOS393215:JOS393265 JYO393215:JYO393265 KIK393215:KIK393265 KSG393215:KSG393265 LCC393215:LCC393265 LLY393215:LLY393265 LVU393215:LVU393265 MFQ393215:MFQ393265 MPM393215:MPM393265 MZI393215:MZI393265 NJE393215:NJE393265 NTA393215:NTA393265 OCW393215:OCW393265 OMS393215:OMS393265 OWO393215:OWO393265 PGK393215:PGK393265 PQG393215:PQG393265 QAC393215:QAC393265 QJY393215:QJY393265 QTU393215:QTU393265 RDQ393215:RDQ393265 RNM393215:RNM393265 RXI393215:RXI393265 SHE393215:SHE393265 SRA393215:SRA393265 TAW393215:TAW393265 TKS393215:TKS393265 TUO393215:TUO393265 UEK393215:UEK393265 UOG393215:UOG393265 UYC393215:UYC393265 VHY393215:VHY393265 VRU393215:VRU393265 WBQ393215:WBQ393265 WLM393215:WLM393265 WVI393215:WVI393265 A458751:A458801 IW458751:IW458801 SS458751:SS458801 ACO458751:ACO458801 AMK458751:AMK458801 AWG458751:AWG458801 BGC458751:BGC458801 BPY458751:BPY458801 BZU458751:BZU458801 CJQ458751:CJQ458801 CTM458751:CTM458801 DDI458751:DDI458801 DNE458751:DNE458801 DXA458751:DXA458801 EGW458751:EGW458801 EQS458751:EQS458801 FAO458751:FAO458801 FKK458751:FKK458801 FUG458751:FUG458801 GEC458751:GEC458801 GNY458751:GNY458801 GXU458751:GXU458801 HHQ458751:HHQ458801 HRM458751:HRM458801 IBI458751:IBI458801 ILE458751:ILE458801 IVA458751:IVA458801 JEW458751:JEW458801 JOS458751:JOS458801 JYO458751:JYO458801 KIK458751:KIK458801 KSG458751:KSG458801 LCC458751:LCC458801 LLY458751:LLY458801 LVU458751:LVU458801 MFQ458751:MFQ458801 MPM458751:MPM458801 MZI458751:MZI458801 NJE458751:NJE458801 NTA458751:NTA458801 OCW458751:OCW458801 OMS458751:OMS458801 OWO458751:OWO458801 PGK458751:PGK458801 PQG458751:PQG458801 QAC458751:QAC458801 QJY458751:QJY458801 QTU458751:QTU458801 RDQ458751:RDQ458801 RNM458751:RNM458801 RXI458751:RXI458801 SHE458751:SHE458801 SRA458751:SRA458801 TAW458751:TAW458801 TKS458751:TKS458801 TUO458751:TUO458801 UEK458751:UEK458801 UOG458751:UOG458801 UYC458751:UYC458801 VHY458751:VHY458801 VRU458751:VRU458801 WBQ458751:WBQ458801 WLM458751:WLM458801 WVI458751:WVI458801 A524287:A524337 IW524287:IW524337 SS524287:SS524337 ACO524287:ACO524337 AMK524287:AMK524337 AWG524287:AWG524337 BGC524287:BGC524337 BPY524287:BPY524337 BZU524287:BZU524337 CJQ524287:CJQ524337 CTM524287:CTM524337 DDI524287:DDI524337 DNE524287:DNE524337 DXA524287:DXA524337 EGW524287:EGW524337 EQS524287:EQS524337 FAO524287:FAO524337 FKK524287:FKK524337 FUG524287:FUG524337 GEC524287:GEC524337 GNY524287:GNY524337 GXU524287:GXU524337 HHQ524287:HHQ524337 HRM524287:HRM524337 IBI524287:IBI524337 ILE524287:ILE524337 IVA524287:IVA524337 JEW524287:JEW524337 JOS524287:JOS524337 JYO524287:JYO524337 KIK524287:KIK524337 KSG524287:KSG524337 LCC524287:LCC524337 LLY524287:LLY524337 LVU524287:LVU524337 MFQ524287:MFQ524337 MPM524287:MPM524337 MZI524287:MZI524337 NJE524287:NJE524337 NTA524287:NTA524337 OCW524287:OCW524337 OMS524287:OMS524337 OWO524287:OWO524337 PGK524287:PGK524337 PQG524287:PQG524337 QAC524287:QAC524337 QJY524287:QJY524337 QTU524287:QTU524337 RDQ524287:RDQ524337 RNM524287:RNM524337 RXI524287:RXI524337 SHE524287:SHE524337 SRA524287:SRA524337 TAW524287:TAW524337 TKS524287:TKS524337 TUO524287:TUO524337 UEK524287:UEK524337 UOG524287:UOG524337 UYC524287:UYC524337 VHY524287:VHY524337 VRU524287:VRU524337 WBQ524287:WBQ524337 WLM524287:WLM524337 WVI524287:WVI524337 A589823:A589873 IW589823:IW589873 SS589823:SS589873 ACO589823:ACO589873 AMK589823:AMK589873 AWG589823:AWG589873 BGC589823:BGC589873 BPY589823:BPY589873 BZU589823:BZU589873 CJQ589823:CJQ589873 CTM589823:CTM589873 DDI589823:DDI589873 DNE589823:DNE589873 DXA589823:DXA589873 EGW589823:EGW589873 EQS589823:EQS589873 FAO589823:FAO589873 FKK589823:FKK589873 FUG589823:FUG589873 GEC589823:GEC589873 GNY589823:GNY589873 GXU589823:GXU589873 HHQ589823:HHQ589873 HRM589823:HRM589873 IBI589823:IBI589873 ILE589823:ILE589873 IVA589823:IVA589873 JEW589823:JEW589873 JOS589823:JOS589873 JYO589823:JYO589873 KIK589823:KIK589873 KSG589823:KSG589873 LCC589823:LCC589873 LLY589823:LLY589873 LVU589823:LVU589873 MFQ589823:MFQ589873 MPM589823:MPM589873 MZI589823:MZI589873 NJE589823:NJE589873 NTA589823:NTA589873 OCW589823:OCW589873 OMS589823:OMS589873 OWO589823:OWO589873 PGK589823:PGK589873 PQG589823:PQG589873 QAC589823:QAC589873 QJY589823:QJY589873 QTU589823:QTU589873 RDQ589823:RDQ589873 RNM589823:RNM589873 RXI589823:RXI589873 SHE589823:SHE589873 SRA589823:SRA589873 TAW589823:TAW589873 TKS589823:TKS589873 TUO589823:TUO589873 UEK589823:UEK589873 UOG589823:UOG589873 UYC589823:UYC589873 VHY589823:VHY589873 VRU589823:VRU589873 WBQ589823:WBQ589873 WLM589823:WLM589873 WVI589823:WVI589873 A655359:A655409 IW655359:IW655409 SS655359:SS655409 ACO655359:ACO655409 AMK655359:AMK655409 AWG655359:AWG655409 BGC655359:BGC655409 BPY655359:BPY655409 BZU655359:BZU655409 CJQ655359:CJQ655409 CTM655359:CTM655409 DDI655359:DDI655409 DNE655359:DNE655409 DXA655359:DXA655409 EGW655359:EGW655409 EQS655359:EQS655409 FAO655359:FAO655409 FKK655359:FKK655409 FUG655359:FUG655409 GEC655359:GEC655409 GNY655359:GNY655409 GXU655359:GXU655409 HHQ655359:HHQ655409 HRM655359:HRM655409 IBI655359:IBI655409 ILE655359:ILE655409 IVA655359:IVA655409 JEW655359:JEW655409 JOS655359:JOS655409 JYO655359:JYO655409 KIK655359:KIK655409 KSG655359:KSG655409 LCC655359:LCC655409 LLY655359:LLY655409 LVU655359:LVU655409 MFQ655359:MFQ655409 MPM655359:MPM655409 MZI655359:MZI655409 NJE655359:NJE655409 NTA655359:NTA655409 OCW655359:OCW655409 OMS655359:OMS655409 OWO655359:OWO655409 PGK655359:PGK655409 PQG655359:PQG655409 QAC655359:QAC655409 QJY655359:QJY655409 QTU655359:QTU655409 RDQ655359:RDQ655409 RNM655359:RNM655409 RXI655359:RXI655409 SHE655359:SHE655409 SRA655359:SRA655409 TAW655359:TAW655409 TKS655359:TKS655409 TUO655359:TUO655409 UEK655359:UEK655409 UOG655359:UOG655409 UYC655359:UYC655409 VHY655359:VHY655409 VRU655359:VRU655409 WBQ655359:WBQ655409 WLM655359:WLM655409 WVI655359:WVI655409 A720895:A720945 IW720895:IW720945 SS720895:SS720945 ACO720895:ACO720945 AMK720895:AMK720945 AWG720895:AWG720945 BGC720895:BGC720945 BPY720895:BPY720945 BZU720895:BZU720945 CJQ720895:CJQ720945 CTM720895:CTM720945 DDI720895:DDI720945 DNE720895:DNE720945 DXA720895:DXA720945 EGW720895:EGW720945 EQS720895:EQS720945 FAO720895:FAO720945 FKK720895:FKK720945 FUG720895:FUG720945 GEC720895:GEC720945 GNY720895:GNY720945 GXU720895:GXU720945 HHQ720895:HHQ720945 HRM720895:HRM720945 IBI720895:IBI720945 ILE720895:ILE720945 IVA720895:IVA720945 JEW720895:JEW720945 JOS720895:JOS720945 JYO720895:JYO720945 KIK720895:KIK720945 KSG720895:KSG720945 LCC720895:LCC720945 LLY720895:LLY720945 LVU720895:LVU720945 MFQ720895:MFQ720945 MPM720895:MPM720945 MZI720895:MZI720945 NJE720895:NJE720945 NTA720895:NTA720945 OCW720895:OCW720945 OMS720895:OMS720945 OWO720895:OWO720945 PGK720895:PGK720945 PQG720895:PQG720945 QAC720895:QAC720945 QJY720895:QJY720945 QTU720895:QTU720945 RDQ720895:RDQ720945 RNM720895:RNM720945 RXI720895:RXI720945 SHE720895:SHE720945 SRA720895:SRA720945 TAW720895:TAW720945 TKS720895:TKS720945 TUO720895:TUO720945 UEK720895:UEK720945 UOG720895:UOG720945 UYC720895:UYC720945 VHY720895:VHY720945 VRU720895:VRU720945 WBQ720895:WBQ720945 WLM720895:WLM720945 WVI720895:WVI720945 A786431:A786481 IW786431:IW786481 SS786431:SS786481 ACO786431:ACO786481 AMK786431:AMK786481 AWG786431:AWG786481 BGC786431:BGC786481 BPY786431:BPY786481 BZU786431:BZU786481 CJQ786431:CJQ786481 CTM786431:CTM786481 DDI786431:DDI786481 DNE786431:DNE786481 DXA786431:DXA786481 EGW786431:EGW786481 EQS786431:EQS786481 FAO786431:FAO786481 FKK786431:FKK786481 FUG786431:FUG786481 GEC786431:GEC786481 GNY786431:GNY786481 GXU786431:GXU786481 HHQ786431:HHQ786481 HRM786431:HRM786481 IBI786431:IBI786481 ILE786431:ILE786481 IVA786431:IVA786481 JEW786431:JEW786481 JOS786431:JOS786481 JYO786431:JYO786481 KIK786431:KIK786481 KSG786431:KSG786481 LCC786431:LCC786481 LLY786431:LLY786481 LVU786431:LVU786481 MFQ786431:MFQ786481 MPM786431:MPM786481 MZI786431:MZI786481 NJE786431:NJE786481 NTA786431:NTA786481 OCW786431:OCW786481 OMS786431:OMS786481 OWO786431:OWO786481 PGK786431:PGK786481 PQG786431:PQG786481 QAC786431:QAC786481 QJY786431:QJY786481 QTU786431:QTU786481 RDQ786431:RDQ786481 RNM786431:RNM786481 RXI786431:RXI786481 SHE786431:SHE786481 SRA786431:SRA786481 TAW786431:TAW786481 TKS786431:TKS786481 TUO786431:TUO786481 UEK786431:UEK786481 UOG786431:UOG786481 UYC786431:UYC786481 VHY786431:VHY786481 VRU786431:VRU786481 WBQ786431:WBQ786481 WLM786431:WLM786481 WVI786431:WVI786481 A851967:A852017 IW851967:IW852017 SS851967:SS852017 ACO851967:ACO852017 AMK851967:AMK852017 AWG851967:AWG852017 BGC851967:BGC852017 BPY851967:BPY852017 BZU851967:BZU852017 CJQ851967:CJQ852017 CTM851967:CTM852017 DDI851967:DDI852017 DNE851967:DNE852017 DXA851967:DXA852017 EGW851967:EGW852017 EQS851967:EQS852017 FAO851967:FAO852017 FKK851967:FKK852017 FUG851967:FUG852017 GEC851967:GEC852017 GNY851967:GNY852017 GXU851967:GXU852017 HHQ851967:HHQ852017 HRM851967:HRM852017 IBI851967:IBI852017 ILE851967:ILE852017 IVA851967:IVA852017 JEW851967:JEW852017 JOS851967:JOS852017 JYO851967:JYO852017 KIK851967:KIK852017 KSG851967:KSG852017 LCC851967:LCC852017 LLY851967:LLY852017 LVU851967:LVU852017 MFQ851967:MFQ852017 MPM851967:MPM852017 MZI851967:MZI852017 NJE851967:NJE852017 NTA851967:NTA852017 OCW851967:OCW852017 OMS851967:OMS852017 OWO851967:OWO852017 PGK851967:PGK852017 PQG851967:PQG852017 QAC851967:QAC852017 QJY851967:QJY852017 QTU851967:QTU852017 RDQ851967:RDQ852017 RNM851967:RNM852017 RXI851967:RXI852017 SHE851967:SHE852017 SRA851967:SRA852017 TAW851967:TAW852017 TKS851967:TKS852017 TUO851967:TUO852017 UEK851967:UEK852017 UOG851967:UOG852017 UYC851967:UYC852017 VHY851967:VHY852017 VRU851967:VRU852017 WBQ851967:WBQ852017 WLM851967:WLM852017 WVI851967:WVI852017 A917503:A917553 IW917503:IW917553 SS917503:SS917553 ACO917503:ACO917553 AMK917503:AMK917553 AWG917503:AWG917553 BGC917503:BGC917553 BPY917503:BPY917553 BZU917503:BZU917553 CJQ917503:CJQ917553 CTM917503:CTM917553 DDI917503:DDI917553 DNE917503:DNE917553 DXA917503:DXA917553 EGW917503:EGW917553 EQS917503:EQS917553 FAO917503:FAO917553 FKK917503:FKK917553 FUG917503:FUG917553 GEC917503:GEC917553 GNY917503:GNY917553 GXU917503:GXU917553 HHQ917503:HHQ917553 HRM917503:HRM917553 IBI917503:IBI917553 ILE917503:ILE917553 IVA917503:IVA917553 JEW917503:JEW917553 JOS917503:JOS917553 JYO917503:JYO917553 KIK917503:KIK917553 KSG917503:KSG917553 LCC917503:LCC917553 LLY917503:LLY917553 LVU917503:LVU917553 MFQ917503:MFQ917553 MPM917503:MPM917553 MZI917503:MZI917553 NJE917503:NJE917553 NTA917503:NTA917553 OCW917503:OCW917553 OMS917503:OMS917553 OWO917503:OWO917553 PGK917503:PGK917553 PQG917503:PQG917553 QAC917503:QAC917553 QJY917503:QJY917553 QTU917503:QTU917553 RDQ917503:RDQ917553 RNM917503:RNM917553 RXI917503:RXI917553 SHE917503:SHE917553 SRA917503:SRA917553 TAW917503:TAW917553 TKS917503:TKS917553 TUO917503:TUO917553 UEK917503:UEK917553 UOG917503:UOG917553 UYC917503:UYC917553 VHY917503:VHY917553 VRU917503:VRU917553 WBQ917503:WBQ917553 WLM917503:WLM917553 WVI917503:WVI917553 A983039:A983089 IW983039:IW983089 SS983039:SS983089 ACO983039:ACO983089 AMK983039:AMK983089 AWG983039:AWG983089 BGC983039:BGC983089 BPY983039:BPY983089 BZU983039:BZU983089 CJQ983039:CJQ983089 CTM983039:CTM983089 DDI983039:DDI983089 DNE983039:DNE983089 DXA983039:DXA983089 EGW983039:EGW983089 EQS983039:EQS983089 FAO983039:FAO983089 FKK983039:FKK983089 FUG983039:FUG983089 GEC983039:GEC983089 GNY983039:GNY983089 GXU983039:GXU983089 HHQ983039:HHQ983089 HRM983039:HRM983089 IBI983039:IBI983089 ILE983039:ILE983089 IVA983039:IVA983089 JEW983039:JEW983089 JOS983039:JOS983089 JYO983039:JYO983089 KIK983039:KIK983089 KSG983039:KSG983089 LCC983039:LCC983089 LLY983039:LLY983089 LVU983039:LVU983089 MFQ983039:MFQ983089 MPM983039:MPM983089 MZI983039:MZI983089 NJE983039:NJE983089 NTA983039:NTA983089 OCW983039:OCW983089 OMS983039:OMS983089 OWO983039:OWO983089 PGK983039:PGK983089 PQG983039:PQG983089 QAC983039:QAC983089 QJY983039:QJY983089 QTU983039:QTU983089 RDQ983039:RDQ983089 RNM983039:RNM983089 RXI983039:RXI983089 SHE983039:SHE983089 SRA983039:SRA983089 TAW983039:TAW983089 TKS983039:TKS983089 TUO983039:TUO983089 UEK983039:UEK983089 UOG983039:UOG983089 UYC983039:UYC983089 VHY983039:VHY983089 VRU983039:VRU983089 WBQ983039:WBQ983089 WLM983039:WLM983089 WVI983039:WVI983089 A6:A65 IW6:IW65 SS6:SS65 ACO6:ACO65 AMK6:AMK65 AWG6:AWG65 BGC6:BGC65 BPY6:BPY65 BZU6:BZU65 CJQ6:CJQ65 CTM6:CTM65 DDI6:DDI65 DNE6:DNE65 DXA6:DXA65 EGW6:EGW65 EQS6:EQS65 FAO6:FAO65 FKK6:FKK65 FUG6:FUG65 GEC6:GEC65 GNY6:GNY65 GXU6:GXU65 HHQ6:HHQ65 HRM6:HRM65 IBI6:IBI65 ILE6:ILE65 IVA6:IVA65 JEW6:JEW65 JOS6:JOS65 JYO6:JYO65 KIK6:KIK65 KSG6:KSG65 LCC6:LCC65 LLY6:LLY65 LVU6:LVU65 MFQ6:MFQ65 MPM6:MPM65 MZI6:MZI65 NJE6:NJE65 NTA6:NTA65 OCW6:OCW65 OMS6:OMS65 OWO6:OWO65 PGK6:PGK65 PQG6:PQG65 QAC6:QAC65 QJY6:QJY65 QTU6:QTU65 RDQ6:RDQ65 RNM6:RNM65 RXI6:RXI65 SHE6:SHE65 SRA6:SRA65 TAW6:TAW65 TKS6:TKS65 TUO6:TUO65 UEK6:UEK65 UOG6:UOG65 UYC6:UYC65 VHY6:VHY65 VRU6:VRU65 WBQ6:WBQ65 WLM6:WLM65 WVI6:WVI65" xr:uid="{00000000-0002-0000-1600-000000000000}">
      <formula1>"0,3,5,7,10,12,15,20,25,30"</formula1>
    </dataValidation>
  </dataValidations>
  <printOptions horizontalCentered="1" verticalCentered="1"/>
  <pageMargins left="0.98425196850393704" right="0.59055118110236227" top="1.1811023622047245" bottom="1.1811023622047245" header="0.39370078740157483" footer="0.39370078740157483"/>
  <pageSetup paperSize="8" scale="75" orientation="landscape" r:id="rId1"/>
  <headerFooter alignWithMargins="0"/>
  <colBreaks count="2" manualBreakCount="2">
    <brk id="18" max="66" man="1"/>
    <brk id="28" max="66" man="1"/>
  </colBreaks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53">
    <tabColor rgb="FF7030A0"/>
  </sheetPr>
  <dimension ref="A2:V88"/>
  <sheetViews>
    <sheetView zoomScaleNormal="100" workbookViewId="0">
      <selection activeCell="B20" sqref="B20"/>
    </sheetView>
  </sheetViews>
  <sheetFormatPr defaultColWidth="9.140625" defaultRowHeight="12.75"/>
  <cols>
    <col min="1" max="1" width="2.7109375" style="674" customWidth="1"/>
    <col min="2" max="2" width="4.7109375" style="674" customWidth="1"/>
    <col min="3" max="3" width="38.140625" style="674" customWidth="1"/>
    <col min="4" max="4" width="9.42578125" style="674" hidden="1" customWidth="1"/>
    <col min="5" max="5" width="7.140625" style="674" hidden="1" customWidth="1"/>
    <col min="6" max="6" width="14.42578125" style="674" hidden="1" customWidth="1"/>
    <col min="7" max="7" width="17.42578125" style="674" hidden="1" customWidth="1"/>
    <col min="8" max="8" width="2.5703125" style="674" hidden="1" customWidth="1"/>
    <col min="9" max="11" width="18.7109375" style="674" customWidth="1"/>
    <col min="12" max="12" width="2.7109375" style="674" customWidth="1"/>
    <col min="13" max="13" width="4.7109375" style="674" customWidth="1"/>
    <col min="14" max="14" width="38.140625" style="674" customWidth="1"/>
    <col min="15" max="15" width="9.42578125" style="674" hidden="1" customWidth="1"/>
    <col min="16" max="16" width="7.140625" style="674" hidden="1" customWidth="1"/>
    <col min="17" max="17" width="14.42578125" style="674" hidden="1" customWidth="1"/>
    <col min="18" max="18" width="17.42578125" style="674" hidden="1" customWidth="1"/>
    <col min="19" max="19" width="2.5703125" style="674" hidden="1" customWidth="1"/>
    <col min="20" max="22" width="18.7109375" style="674" customWidth="1"/>
    <col min="23" max="23" width="2.7109375" style="674" customWidth="1"/>
    <col min="24" max="16384" width="9.140625" style="674"/>
  </cols>
  <sheetData>
    <row r="2" spans="1:22" s="618" customFormat="1" ht="20.100000000000001" customHeight="1">
      <c r="A2" s="616"/>
      <c r="B2" s="1328" t="s">
        <v>461</v>
      </c>
      <c r="C2" s="1328"/>
      <c r="D2" s="1328"/>
      <c r="E2" s="1328"/>
      <c r="F2" s="1328"/>
      <c r="G2" s="1328"/>
      <c r="H2" s="1328"/>
      <c r="I2" s="1328"/>
      <c r="J2" s="1328"/>
      <c r="K2" s="1328"/>
      <c r="M2" s="1328" t="s">
        <v>460</v>
      </c>
      <c r="N2" s="1328"/>
      <c r="O2" s="1328"/>
      <c r="P2" s="1328"/>
      <c r="Q2" s="1328"/>
      <c r="R2" s="1328"/>
      <c r="S2" s="1328"/>
      <c r="T2" s="1328"/>
      <c r="U2" s="1328"/>
      <c r="V2" s="1328"/>
    </row>
    <row r="3" spans="1:22" s="618" customFormat="1" ht="20.100000000000001" customHeight="1">
      <c r="A3" s="616"/>
      <c r="B3" s="615" t="s">
        <v>410</v>
      </c>
      <c r="C3" s="615"/>
      <c r="D3" s="615"/>
      <c r="E3" s="615"/>
      <c r="F3" s="615"/>
      <c r="G3" s="615"/>
      <c r="H3" s="615"/>
      <c r="I3" s="615"/>
      <c r="J3" s="615"/>
      <c r="K3" s="615"/>
      <c r="M3" s="615" t="s">
        <v>410</v>
      </c>
      <c r="N3" s="615"/>
      <c r="O3" s="615"/>
      <c r="P3" s="615"/>
      <c r="Q3" s="615"/>
      <c r="R3" s="615"/>
      <c r="S3" s="615"/>
      <c r="T3" s="615"/>
      <c r="U3" s="615"/>
      <c r="V3" s="615"/>
    </row>
    <row r="4" spans="1:22" s="614" customFormat="1" ht="20.100000000000001" customHeight="1" thickBot="1">
      <c r="A4" s="616"/>
      <c r="B4" s="615" t="s">
        <v>411</v>
      </c>
      <c r="C4" s="615"/>
      <c r="D4" s="615"/>
      <c r="E4" s="615"/>
      <c r="F4" s="615"/>
      <c r="G4" s="615"/>
      <c r="H4" s="615"/>
      <c r="I4" s="615">
        <v>1.1665000000000001</v>
      </c>
      <c r="J4" s="615">
        <v>1.2084999999999999</v>
      </c>
      <c r="K4" s="615">
        <v>1.2431000000000001</v>
      </c>
      <c r="M4" s="615" t="s">
        <v>411</v>
      </c>
      <c r="N4" s="615"/>
      <c r="O4" s="615"/>
      <c r="P4" s="615"/>
      <c r="Q4" s="615"/>
      <c r="R4" s="615"/>
      <c r="S4" s="615"/>
      <c r="T4" s="615">
        <v>1</v>
      </c>
      <c r="U4" s="615"/>
      <c r="V4" s="615"/>
    </row>
    <row r="5" spans="1:22" s="618" customFormat="1" ht="20.100000000000001" customHeight="1" thickBot="1">
      <c r="A5" s="616"/>
      <c r="B5" s="617"/>
      <c r="C5" s="617"/>
      <c r="D5" s="1321"/>
      <c r="E5" s="1321"/>
      <c r="F5" s="1321"/>
      <c r="G5" s="1321"/>
      <c r="H5" s="617"/>
      <c r="I5" s="1322" t="s">
        <v>140</v>
      </c>
      <c r="J5" s="1323"/>
      <c r="K5" s="1324"/>
      <c r="M5" s="617"/>
      <c r="N5" s="617"/>
      <c r="O5" s="1321"/>
      <c r="P5" s="1321"/>
      <c r="Q5" s="1321"/>
      <c r="R5" s="1321"/>
      <c r="S5" s="617"/>
      <c r="T5" s="1322" t="s">
        <v>140</v>
      </c>
      <c r="U5" s="1323"/>
      <c r="V5" s="1324"/>
    </row>
    <row r="6" spans="1:22" s="618" customFormat="1" ht="20.100000000000001" customHeight="1" thickBot="1">
      <c r="A6" s="616"/>
      <c r="B6" s="619"/>
      <c r="C6" s="619"/>
      <c r="D6" s="620" t="s">
        <v>141</v>
      </c>
      <c r="E6" s="621" t="s">
        <v>142</v>
      </c>
      <c r="F6" s="621" t="s">
        <v>143</v>
      </c>
      <c r="G6" s="620" t="s">
        <v>144</v>
      </c>
      <c r="H6" s="619"/>
      <c r="I6" s="622" t="s">
        <v>350</v>
      </c>
      <c r="J6" s="623" t="s">
        <v>351</v>
      </c>
      <c r="K6" s="623" t="s">
        <v>352</v>
      </c>
      <c r="M6" s="619"/>
      <c r="N6" s="619"/>
      <c r="O6" s="620" t="s">
        <v>141</v>
      </c>
      <c r="P6" s="621" t="s">
        <v>142</v>
      </c>
      <c r="Q6" s="621" t="s">
        <v>143</v>
      </c>
      <c r="R6" s="620" t="s">
        <v>144</v>
      </c>
      <c r="S6" s="619"/>
      <c r="T6" s="622" t="s">
        <v>350</v>
      </c>
      <c r="U6" s="623" t="s">
        <v>351</v>
      </c>
      <c r="V6" s="623" t="s">
        <v>352</v>
      </c>
    </row>
    <row r="7" spans="1:22" s="618" customFormat="1" ht="20.100000000000001" customHeight="1" thickBot="1">
      <c r="A7" s="616"/>
      <c r="B7" s="624">
        <v>1</v>
      </c>
      <c r="C7" s="1325" t="s">
        <v>145</v>
      </c>
      <c r="D7" s="1325"/>
      <c r="E7" s="1325"/>
      <c r="F7" s="1326"/>
      <c r="G7" s="625">
        <f>G8+G45+G48+G53</f>
        <v>1707044.9169503159</v>
      </c>
      <c r="H7" s="626"/>
      <c r="I7" s="625">
        <f>I8+I45+I48+I53</f>
        <v>415657.32533219026</v>
      </c>
      <c r="J7" s="625">
        <f>J8+J45+J48+J53</f>
        <v>276066.08191973524</v>
      </c>
      <c r="K7" s="625">
        <f>K8+K45+K48+K53</f>
        <v>179425.64556351057</v>
      </c>
      <c r="M7" s="624">
        <v>1</v>
      </c>
      <c r="N7" s="1325" t="s">
        <v>145</v>
      </c>
      <c r="O7" s="1325"/>
      <c r="P7" s="1325"/>
      <c r="Q7" s="1326"/>
      <c r="R7" s="625">
        <f>R8+R45+R48+R53</f>
        <v>1707044.9169503159</v>
      </c>
      <c r="S7" s="626"/>
      <c r="T7" s="625">
        <f>T8+T45+T48+T53</f>
        <v>484864.2699999999</v>
      </c>
      <c r="U7" s="625">
        <f>U8+U45+U48+U53</f>
        <v>333625.86000000004</v>
      </c>
      <c r="V7" s="625">
        <f>V8+V45+V48+V53</f>
        <v>223044.01999999996</v>
      </c>
    </row>
    <row r="8" spans="1:22" s="618" customFormat="1" ht="20.100000000000001" customHeight="1" thickBot="1">
      <c r="A8" s="616"/>
      <c r="B8" s="675" t="s">
        <v>146</v>
      </c>
      <c r="C8" s="627" t="s">
        <v>147</v>
      </c>
      <c r="D8" s="628"/>
      <c r="E8" s="629"/>
      <c r="F8" s="630"/>
      <c r="G8" s="631">
        <f>SUM(G9:G43)</f>
        <v>443547.83620729996</v>
      </c>
      <c r="H8" s="632"/>
      <c r="I8" s="631">
        <f>I9+I10+I23+I32+I34+I41+I43</f>
        <v>298647.82683240459</v>
      </c>
      <c r="J8" s="631">
        <f>J9+J10+J23+J32+J34+J41+J43</f>
        <v>65491.021928009926</v>
      </c>
      <c r="K8" s="631">
        <f>K9+K10+K23+K32+K34+K41+K43</f>
        <v>113111.25412275761</v>
      </c>
      <c r="M8" s="675" t="s">
        <v>146</v>
      </c>
      <c r="N8" s="627" t="s">
        <v>147</v>
      </c>
      <c r="O8" s="628"/>
      <c r="P8" s="629"/>
      <c r="Q8" s="630"/>
      <c r="R8" s="631">
        <f>SUM(R9:R43)</f>
        <v>443547.83620729996</v>
      </c>
      <c r="S8" s="632"/>
      <c r="T8" s="631">
        <f>T9+T10+T23+T32+T34+T41+T43</f>
        <v>348372.68999999994</v>
      </c>
      <c r="U8" s="631">
        <f t="shared" ref="U8:V8" si="0">U9+U10+U23+U32+U34+U41+U43</f>
        <v>79145.899999999994</v>
      </c>
      <c r="V8" s="631">
        <f t="shared" si="0"/>
        <v>140608.59999999998</v>
      </c>
    </row>
    <row r="9" spans="1:22" s="618" customFormat="1" ht="30" customHeight="1">
      <c r="A9" s="616"/>
      <c r="B9" s="676"/>
      <c r="C9" s="645" t="s">
        <v>248</v>
      </c>
      <c r="D9" s="646">
        <v>1</v>
      </c>
      <c r="E9" s="647" t="s">
        <v>249</v>
      </c>
      <c r="F9" s="647">
        <v>61319.977355847921</v>
      </c>
      <c r="G9" s="648">
        <f>F9*D9</f>
        <v>61319.977355847921</v>
      </c>
      <c r="H9" s="635"/>
      <c r="I9" s="649">
        <f>T9/I$4</f>
        <v>22893.407629661378</v>
      </c>
      <c r="J9" s="647">
        <f>U9/J$4</f>
        <v>0</v>
      </c>
      <c r="K9" s="648">
        <f>V9/K$4</f>
        <v>0</v>
      </c>
      <c r="M9" s="676"/>
      <c r="N9" s="645" t="s">
        <v>248</v>
      </c>
      <c r="O9" s="646">
        <v>1</v>
      </c>
      <c r="P9" s="647" t="s">
        <v>249</v>
      </c>
      <c r="Q9" s="647">
        <v>61319.977355847921</v>
      </c>
      <c r="R9" s="648">
        <f>Q9*O9</f>
        <v>61319.977355847921</v>
      </c>
      <c r="S9" s="635"/>
      <c r="T9" s="649">
        <v>26705.16</v>
      </c>
      <c r="U9" s="647">
        <v>0</v>
      </c>
      <c r="V9" s="648">
        <v>0</v>
      </c>
    </row>
    <row r="10" spans="1:22" s="618" customFormat="1" ht="30" customHeight="1">
      <c r="A10" s="616"/>
      <c r="B10" s="677"/>
      <c r="C10" s="633" t="s">
        <v>412</v>
      </c>
      <c r="D10" s="634">
        <v>1</v>
      </c>
      <c r="E10" s="612" t="s">
        <v>249</v>
      </c>
      <c r="F10" s="612">
        <v>71539.973581822574</v>
      </c>
      <c r="G10" s="613">
        <f>F10*D10</f>
        <v>71539.973581822574</v>
      </c>
      <c r="H10" s="635"/>
      <c r="I10" s="611">
        <f>SUM(I11:I22)</f>
        <v>114824.40634376337</v>
      </c>
      <c r="J10" s="612">
        <f>SUM(J11:J22)</f>
        <v>28287.95200661978</v>
      </c>
      <c r="K10" s="613">
        <f>SUM(K11:K22)</f>
        <v>74885.809669374954</v>
      </c>
      <c r="M10" s="677"/>
      <c r="N10" s="633" t="s">
        <v>412</v>
      </c>
      <c r="O10" s="634">
        <v>1</v>
      </c>
      <c r="P10" s="612" t="s">
        <v>249</v>
      </c>
      <c r="Q10" s="612">
        <v>71539.973581822574</v>
      </c>
      <c r="R10" s="613">
        <f>Q10*O10</f>
        <v>71539.973581822574</v>
      </c>
      <c r="S10" s="635"/>
      <c r="T10" s="611">
        <f>SUM(T11:T22)</f>
        <v>133942.66999999998</v>
      </c>
      <c r="U10" s="612">
        <f t="shared" ref="U10:V10" si="1">SUM(U11:U22)</f>
        <v>34185.99</v>
      </c>
      <c r="V10" s="613">
        <f t="shared" si="1"/>
        <v>93090.549999999988</v>
      </c>
    </row>
    <row r="11" spans="1:22" s="618" customFormat="1">
      <c r="A11" s="616"/>
      <c r="B11" s="678"/>
      <c r="C11" s="679" t="s">
        <v>413</v>
      </c>
      <c r="D11" s="680"/>
      <c r="E11" s="681"/>
      <c r="F11" s="681"/>
      <c r="G11" s="682"/>
      <c r="H11" s="635"/>
      <c r="I11" s="683">
        <f>T11/I$4</f>
        <v>608.65837976853834</v>
      </c>
      <c r="J11" s="681">
        <f>U11/J$4</f>
        <v>0</v>
      </c>
      <c r="K11" s="682">
        <f>V11/K$4</f>
        <v>0</v>
      </c>
      <c r="M11" s="678"/>
      <c r="N11" s="679" t="s">
        <v>413</v>
      </c>
      <c r="O11" s="680"/>
      <c r="P11" s="681"/>
      <c r="Q11" s="681"/>
      <c r="R11" s="682"/>
      <c r="S11" s="635"/>
      <c r="T11" s="683">
        <v>710</v>
      </c>
      <c r="U11" s="681">
        <v>0</v>
      </c>
      <c r="V11" s="682">
        <v>0</v>
      </c>
    </row>
    <row r="12" spans="1:22" s="618" customFormat="1">
      <c r="A12" s="616"/>
      <c r="B12" s="678"/>
      <c r="C12" s="679" t="s">
        <v>414</v>
      </c>
      <c r="D12" s="680"/>
      <c r="E12" s="681"/>
      <c r="F12" s="681"/>
      <c r="G12" s="682"/>
      <c r="H12" s="635"/>
      <c r="I12" s="683">
        <f t="shared" ref="I12:K22" si="2">T12/I$4</f>
        <v>52965.452207458198</v>
      </c>
      <c r="J12" s="681">
        <f t="shared" si="2"/>
        <v>0</v>
      </c>
      <c r="K12" s="682">
        <f t="shared" si="2"/>
        <v>0</v>
      </c>
      <c r="M12" s="678"/>
      <c r="N12" s="679" t="s">
        <v>414</v>
      </c>
      <c r="O12" s="680"/>
      <c r="P12" s="681"/>
      <c r="Q12" s="681"/>
      <c r="R12" s="682"/>
      <c r="S12" s="635"/>
      <c r="T12" s="683">
        <v>61784.2</v>
      </c>
      <c r="U12" s="681">
        <v>0</v>
      </c>
      <c r="V12" s="682">
        <v>0</v>
      </c>
    </row>
    <row r="13" spans="1:22" s="618" customFormat="1">
      <c r="A13" s="616"/>
      <c r="B13" s="678"/>
      <c r="C13" s="679" t="s">
        <v>415</v>
      </c>
      <c r="D13" s="680"/>
      <c r="E13" s="681"/>
      <c r="F13" s="681"/>
      <c r="G13" s="682"/>
      <c r="H13" s="635"/>
      <c r="I13" s="683">
        <f t="shared" si="2"/>
        <v>1414.4877839691383</v>
      </c>
      <c r="J13" s="681">
        <f t="shared" si="2"/>
        <v>0</v>
      </c>
      <c r="K13" s="682">
        <f t="shared" si="2"/>
        <v>0</v>
      </c>
      <c r="M13" s="678"/>
      <c r="N13" s="679" t="s">
        <v>415</v>
      </c>
      <c r="O13" s="680"/>
      <c r="P13" s="681"/>
      <c r="Q13" s="681"/>
      <c r="R13" s="682"/>
      <c r="S13" s="635"/>
      <c r="T13" s="683">
        <v>1650</v>
      </c>
      <c r="U13" s="681">
        <v>0</v>
      </c>
      <c r="V13" s="682">
        <v>0</v>
      </c>
    </row>
    <row r="14" spans="1:22" s="618" customFormat="1">
      <c r="A14" s="616"/>
      <c r="B14" s="678"/>
      <c r="C14" s="679" t="s">
        <v>416</v>
      </c>
      <c r="D14" s="680"/>
      <c r="E14" s="681"/>
      <c r="F14" s="681"/>
      <c r="G14" s="682"/>
      <c r="H14" s="635"/>
      <c r="I14" s="683">
        <f t="shared" si="2"/>
        <v>1978.9969995713673</v>
      </c>
      <c r="J14" s="681">
        <f t="shared" si="2"/>
        <v>0</v>
      </c>
      <c r="K14" s="682">
        <f t="shared" si="2"/>
        <v>0</v>
      </c>
      <c r="M14" s="678"/>
      <c r="N14" s="679" t="s">
        <v>416</v>
      </c>
      <c r="O14" s="680"/>
      <c r="P14" s="681"/>
      <c r="Q14" s="681"/>
      <c r="R14" s="682"/>
      <c r="S14" s="635"/>
      <c r="T14" s="683">
        <v>2308.5</v>
      </c>
      <c r="U14" s="681">
        <v>0</v>
      </c>
      <c r="V14" s="682">
        <v>0</v>
      </c>
    </row>
    <row r="15" spans="1:22" s="618" customFormat="1">
      <c r="A15" s="616"/>
      <c r="B15" s="678"/>
      <c r="C15" s="679" t="s">
        <v>417</v>
      </c>
      <c r="D15" s="680"/>
      <c r="E15" s="681"/>
      <c r="F15" s="681"/>
      <c r="G15" s="682"/>
      <c r="H15" s="635"/>
      <c r="I15" s="683">
        <f t="shared" si="2"/>
        <v>0</v>
      </c>
      <c r="J15" s="681">
        <f t="shared" si="2"/>
        <v>1670.5668183698801</v>
      </c>
      <c r="K15" s="682">
        <f t="shared" si="2"/>
        <v>0</v>
      </c>
      <c r="M15" s="678"/>
      <c r="N15" s="679" t="s">
        <v>417</v>
      </c>
      <c r="O15" s="680"/>
      <c r="P15" s="681"/>
      <c r="Q15" s="681"/>
      <c r="R15" s="682"/>
      <c r="S15" s="635"/>
      <c r="T15" s="683">
        <v>0</v>
      </c>
      <c r="U15" s="681">
        <v>2018.88</v>
      </c>
      <c r="V15" s="682">
        <v>0</v>
      </c>
    </row>
    <row r="16" spans="1:22" s="618" customFormat="1">
      <c r="A16" s="616"/>
      <c r="B16" s="678"/>
      <c r="C16" s="679" t="s">
        <v>418</v>
      </c>
      <c r="D16" s="680"/>
      <c r="E16" s="681"/>
      <c r="F16" s="681"/>
      <c r="G16" s="682"/>
      <c r="H16" s="635"/>
      <c r="I16" s="683">
        <f t="shared" si="2"/>
        <v>0</v>
      </c>
      <c r="J16" s="681">
        <f t="shared" si="2"/>
        <v>7000.4137360364093</v>
      </c>
      <c r="K16" s="682">
        <f t="shared" si="2"/>
        <v>0</v>
      </c>
      <c r="M16" s="678"/>
      <c r="N16" s="679" t="s">
        <v>418</v>
      </c>
      <c r="O16" s="680"/>
      <c r="P16" s="681"/>
      <c r="Q16" s="681"/>
      <c r="R16" s="682"/>
      <c r="S16" s="635"/>
      <c r="T16" s="683">
        <v>0</v>
      </c>
      <c r="U16" s="681">
        <v>8460</v>
      </c>
      <c r="V16" s="682">
        <v>0</v>
      </c>
    </row>
    <row r="17" spans="1:22" s="618" customFormat="1">
      <c r="A17" s="616"/>
      <c r="B17" s="678"/>
      <c r="C17" s="679" t="s">
        <v>419</v>
      </c>
      <c r="D17" s="680"/>
      <c r="E17" s="681"/>
      <c r="F17" s="681"/>
      <c r="G17" s="682"/>
      <c r="H17" s="635"/>
      <c r="I17" s="683">
        <f t="shared" si="2"/>
        <v>0</v>
      </c>
      <c r="J17" s="681">
        <f t="shared" si="2"/>
        <v>0</v>
      </c>
      <c r="K17" s="682">
        <f t="shared" si="2"/>
        <v>4079.1086799131199</v>
      </c>
      <c r="M17" s="678"/>
      <c r="N17" s="679" t="s">
        <v>419</v>
      </c>
      <c r="O17" s="680"/>
      <c r="P17" s="681"/>
      <c r="Q17" s="681"/>
      <c r="R17" s="682"/>
      <c r="S17" s="635"/>
      <c r="T17" s="683">
        <v>0</v>
      </c>
      <c r="U17" s="681">
        <v>0</v>
      </c>
      <c r="V17" s="682">
        <v>5070.74</v>
      </c>
    </row>
    <row r="18" spans="1:22" s="618" customFormat="1">
      <c r="A18" s="616"/>
      <c r="B18" s="684"/>
      <c r="C18" s="685" t="s">
        <v>420</v>
      </c>
      <c r="D18" s="680"/>
      <c r="E18" s="681"/>
      <c r="F18" s="681"/>
      <c r="G18" s="682"/>
      <c r="H18" s="635"/>
      <c r="I18" s="686">
        <f t="shared" si="2"/>
        <v>57856.810972996136</v>
      </c>
      <c r="J18" s="687">
        <f t="shared" si="2"/>
        <v>17385.006206040547</v>
      </c>
      <c r="K18" s="688">
        <f t="shared" si="2"/>
        <v>1418.2286219934035</v>
      </c>
      <c r="M18" s="684"/>
      <c r="N18" s="685" t="s">
        <v>420</v>
      </c>
      <c r="O18" s="680"/>
      <c r="P18" s="681"/>
      <c r="Q18" s="681"/>
      <c r="R18" s="682"/>
      <c r="S18" s="635"/>
      <c r="T18" s="686">
        <v>67489.97</v>
      </c>
      <c r="U18" s="687">
        <v>21009.78</v>
      </c>
      <c r="V18" s="688">
        <v>1763</v>
      </c>
    </row>
    <row r="19" spans="1:22" s="618" customFormat="1">
      <c r="A19" s="616"/>
      <c r="B19" s="684"/>
      <c r="C19" s="685" t="s">
        <v>421</v>
      </c>
      <c r="D19" s="680"/>
      <c r="E19" s="681"/>
      <c r="F19" s="681"/>
      <c r="G19" s="682"/>
      <c r="H19" s="635"/>
      <c r="I19" s="686">
        <f t="shared" si="2"/>
        <v>0</v>
      </c>
      <c r="J19" s="687">
        <f t="shared" si="2"/>
        <v>2231.965246172942</v>
      </c>
      <c r="K19" s="688">
        <f t="shared" si="2"/>
        <v>0</v>
      </c>
      <c r="M19" s="684"/>
      <c r="N19" s="685" t="s">
        <v>421</v>
      </c>
      <c r="O19" s="680"/>
      <c r="P19" s="681"/>
      <c r="Q19" s="681"/>
      <c r="R19" s="682"/>
      <c r="S19" s="635"/>
      <c r="T19" s="686"/>
      <c r="U19" s="687">
        <v>2697.33</v>
      </c>
      <c r="V19" s="688"/>
    </row>
    <row r="20" spans="1:22" s="618" customFormat="1">
      <c r="A20" s="616"/>
      <c r="B20" s="684"/>
      <c r="C20" s="685" t="s">
        <v>422</v>
      </c>
      <c r="D20" s="680"/>
      <c r="E20" s="681"/>
      <c r="F20" s="681"/>
      <c r="G20" s="682"/>
      <c r="H20" s="635"/>
      <c r="I20" s="686">
        <f t="shared" si="2"/>
        <v>0</v>
      </c>
      <c r="J20" s="687">
        <f t="shared" si="2"/>
        <v>0</v>
      </c>
      <c r="K20" s="688">
        <f t="shared" si="2"/>
        <v>10880.862360228461</v>
      </c>
      <c r="M20" s="684"/>
      <c r="N20" s="685" t="s">
        <v>422</v>
      </c>
      <c r="O20" s="680"/>
      <c r="P20" s="681"/>
      <c r="Q20" s="681"/>
      <c r="R20" s="682"/>
      <c r="S20" s="635"/>
      <c r="T20" s="686"/>
      <c r="U20" s="687"/>
      <c r="V20" s="688">
        <v>13526</v>
      </c>
    </row>
    <row r="21" spans="1:22" s="618" customFormat="1">
      <c r="A21" s="616"/>
      <c r="B21" s="689"/>
      <c r="C21" s="690" t="s">
        <v>423</v>
      </c>
      <c r="D21" s="680"/>
      <c r="E21" s="681"/>
      <c r="F21" s="681"/>
      <c r="G21" s="682"/>
      <c r="H21" s="635"/>
      <c r="I21" s="686">
        <f t="shared" si="2"/>
        <v>0</v>
      </c>
      <c r="J21" s="687">
        <f t="shared" si="2"/>
        <v>0</v>
      </c>
      <c r="K21" s="688">
        <f t="shared" si="2"/>
        <v>55889.960582414926</v>
      </c>
      <c r="M21" s="689"/>
      <c r="N21" s="690" t="s">
        <v>423</v>
      </c>
      <c r="O21" s="680"/>
      <c r="P21" s="681"/>
      <c r="Q21" s="681"/>
      <c r="R21" s="682"/>
      <c r="S21" s="635"/>
      <c r="T21" s="686"/>
      <c r="U21" s="687"/>
      <c r="V21" s="688">
        <v>69476.81</v>
      </c>
    </row>
    <row r="22" spans="1:22" s="618" customFormat="1">
      <c r="A22" s="616"/>
      <c r="B22" s="689"/>
      <c r="C22" s="685" t="s">
        <v>424</v>
      </c>
      <c r="D22" s="680"/>
      <c r="E22" s="681"/>
      <c r="F22" s="681"/>
      <c r="G22" s="682"/>
      <c r="H22" s="635"/>
      <c r="I22" s="686">
        <f t="shared" si="2"/>
        <v>0</v>
      </c>
      <c r="J22" s="687">
        <f t="shared" si="2"/>
        <v>0</v>
      </c>
      <c r="K22" s="688">
        <f t="shared" si="2"/>
        <v>2617.6494248250342</v>
      </c>
      <c r="M22" s="689"/>
      <c r="N22" s="685" t="s">
        <v>424</v>
      </c>
      <c r="O22" s="680"/>
      <c r="P22" s="681"/>
      <c r="Q22" s="681"/>
      <c r="R22" s="682"/>
      <c r="S22" s="635"/>
      <c r="T22" s="686"/>
      <c r="U22" s="687"/>
      <c r="V22" s="688">
        <v>3254</v>
      </c>
    </row>
    <row r="23" spans="1:22" s="618" customFormat="1" ht="30" customHeight="1">
      <c r="A23" s="616"/>
      <c r="B23" s="677"/>
      <c r="C23" s="633" t="s">
        <v>250</v>
      </c>
      <c r="D23" s="634">
        <v>1</v>
      </c>
      <c r="E23" s="612" t="s">
        <v>249</v>
      </c>
      <c r="F23" s="612">
        <v>204399.92451949307</v>
      </c>
      <c r="G23" s="613">
        <f t="shared" ref="G23" si="3">F23*D23</f>
        <v>204399.92451949307</v>
      </c>
      <c r="H23" s="635"/>
      <c r="I23" s="611">
        <f>SUM(I24:I31)</f>
        <v>148427.65537933988</v>
      </c>
      <c r="J23" s="612">
        <f>SUM(J24:J31)</f>
        <v>12251.187422424493</v>
      </c>
      <c r="K23" s="613">
        <f>SUM(K24:K31)</f>
        <v>17502.630520473009</v>
      </c>
      <c r="M23" s="677"/>
      <c r="N23" s="633" t="s">
        <v>250</v>
      </c>
      <c r="O23" s="634">
        <v>1</v>
      </c>
      <c r="P23" s="612" t="s">
        <v>249</v>
      </c>
      <c r="Q23" s="612">
        <v>204399.92451949307</v>
      </c>
      <c r="R23" s="613">
        <f t="shared" ref="R23" si="4">Q23*O23</f>
        <v>204399.92451949307</v>
      </c>
      <c r="S23" s="635"/>
      <c r="T23" s="611">
        <f>SUM(T24:T31)</f>
        <v>173140.86</v>
      </c>
      <c r="U23" s="612">
        <f t="shared" ref="U23:V23" si="5">SUM(U24:U31)</f>
        <v>14805.56</v>
      </c>
      <c r="V23" s="613">
        <f t="shared" si="5"/>
        <v>21757.52</v>
      </c>
    </row>
    <row r="24" spans="1:22" s="618" customFormat="1" ht="24">
      <c r="A24" s="616"/>
      <c r="B24" s="678"/>
      <c r="C24" s="679" t="s">
        <v>250</v>
      </c>
      <c r="D24" s="680"/>
      <c r="E24" s="681"/>
      <c r="F24" s="681"/>
      <c r="G24" s="682"/>
      <c r="H24" s="635"/>
      <c r="I24" s="683">
        <f t="shared" ref="I24:K31" si="6">T24/I$4</f>
        <v>108048.8641234462</v>
      </c>
      <c r="J24" s="681">
        <f t="shared" si="6"/>
        <v>0</v>
      </c>
      <c r="K24" s="682">
        <f t="shared" si="6"/>
        <v>0</v>
      </c>
      <c r="M24" s="678"/>
      <c r="N24" s="679" t="s">
        <v>250</v>
      </c>
      <c r="O24" s="680"/>
      <c r="P24" s="681"/>
      <c r="Q24" s="681"/>
      <c r="R24" s="682"/>
      <c r="S24" s="635"/>
      <c r="T24" s="683">
        <v>126039</v>
      </c>
      <c r="U24" s="681">
        <v>0</v>
      </c>
      <c r="V24" s="682">
        <v>0</v>
      </c>
    </row>
    <row r="25" spans="1:22" s="618" customFormat="1">
      <c r="A25" s="616"/>
      <c r="B25" s="684"/>
      <c r="C25" s="685" t="s">
        <v>425</v>
      </c>
      <c r="D25" s="680"/>
      <c r="E25" s="681"/>
      <c r="F25" s="681"/>
      <c r="G25" s="682"/>
      <c r="H25" s="635"/>
      <c r="I25" s="686">
        <f t="shared" si="6"/>
        <v>20266.489498499785</v>
      </c>
      <c r="J25" s="687">
        <f t="shared" si="6"/>
        <v>5253.6201903185774</v>
      </c>
      <c r="K25" s="688">
        <f t="shared" si="6"/>
        <v>1664.3632853350491</v>
      </c>
      <c r="M25" s="684"/>
      <c r="N25" s="685" t="s">
        <v>425</v>
      </c>
      <c r="O25" s="680"/>
      <c r="P25" s="681"/>
      <c r="Q25" s="681"/>
      <c r="R25" s="682"/>
      <c r="S25" s="635"/>
      <c r="T25" s="686">
        <v>23640.86</v>
      </c>
      <c r="U25" s="687">
        <v>6349</v>
      </c>
      <c r="V25" s="688">
        <v>2068.9699999999998</v>
      </c>
    </row>
    <row r="26" spans="1:22" s="618" customFormat="1">
      <c r="A26" s="616"/>
      <c r="B26" s="684"/>
      <c r="C26" s="685" t="s">
        <v>426</v>
      </c>
      <c r="D26" s="680"/>
      <c r="E26" s="681"/>
      <c r="F26" s="681"/>
      <c r="G26" s="682"/>
      <c r="H26" s="635"/>
      <c r="I26" s="686">
        <f t="shared" si="6"/>
        <v>2897.5567938276895</v>
      </c>
      <c r="J26" s="687">
        <f t="shared" si="6"/>
        <v>6997.5672321059164</v>
      </c>
      <c r="K26" s="688">
        <f t="shared" si="6"/>
        <v>0</v>
      </c>
      <c r="M26" s="684"/>
      <c r="N26" s="685" t="s">
        <v>426</v>
      </c>
      <c r="O26" s="680"/>
      <c r="P26" s="681"/>
      <c r="Q26" s="681"/>
      <c r="R26" s="682"/>
      <c r="S26" s="635"/>
      <c r="T26" s="686">
        <v>3380</v>
      </c>
      <c r="U26" s="687">
        <v>8456.56</v>
      </c>
      <c r="V26" s="688">
        <v>0</v>
      </c>
    </row>
    <row r="27" spans="1:22" s="618" customFormat="1">
      <c r="A27" s="616"/>
      <c r="B27" s="678"/>
      <c r="C27" s="679" t="s">
        <v>417</v>
      </c>
      <c r="D27" s="680"/>
      <c r="E27" s="681"/>
      <c r="F27" s="681"/>
      <c r="G27" s="682"/>
      <c r="H27" s="635"/>
      <c r="I27" s="683">
        <f t="shared" si="6"/>
        <v>2700.3857693956279</v>
      </c>
      <c r="J27" s="681">
        <f t="shared" si="6"/>
        <v>0</v>
      </c>
      <c r="K27" s="682">
        <f t="shared" si="6"/>
        <v>0</v>
      </c>
      <c r="M27" s="678"/>
      <c r="N27" s="679" t="s">
        <v>417</v>
      </c>
      <c r="O27" s="680"/>
      <c r="P27" s="681"/>
      <c r="Q27" s="681"/>
      <c r="R27" s="682"/>
      <c r="S27" s="635"/>
      <c r="T27" s="683">
        <v>3150</v>
      </c>
      <c r="U27" s="681">
        <v>0</v>
      </c>
      <c r="V27" s="682">
        <v>0</v>
      </c>
    </row>
    <row r="28" spans="1:22" s="618" customFormat="1">
      <c r="A28" s="616"/>
      <c r="B28" s="678"/>
      <c r="C28" s="679" t="s">
        <v>427</v>
      </c>
      <c r="D28" s="680"/>
      <c r="E28" s="681"/>
      <c r="F28" s="681"/>
      <c r="G28" s="682"/>
      <c r="H28" s="635"/>
      <c r="I28" s="683">
        <f t="shared" si="6"/>
        <v>1795.9708529789968</v>
      </c>
      <c r="J28" s="681">
        <f t="shared" si="6"/>
        <v>0</v>
      </c>
      <c r="K28" s="682">
        <f t="shared" si="6"/>
        <v>0</v>
      </c>
      <c r="M28" s="678"/>
      <c r="N28" s="679" t="s">
        <v>427</v>
      </c>
      <c r="O28" s="680"/>
      <c r="P28" s="681"/>
      <c r="Q28" s="681"/>
      <c r="R28" s="682"/>
      <c r="S28" s="635"/>
      <c r="T28" s="683">
        <v>2095</v>
      </c>
      <c r="U28" s="681">
        <v>0</v>
      </c>
      <c r="V28" s="682">
        <v>0</v>
      </c>
    </row>
    <row r="29" spans="1:22" s="618" customFormat="1">
      <c r="A29" s="616"/>
      <c r="B29" s="678"/>
      <c r="C29" s="679" t="s">
        <v>428</v>
      </c>
      <c r="D29" s="680"/>
      <c r="E29" s="681"/>
      <c r="F29" s="681"/>
      <c r="G29" s="682"/>
      <c r="H29" s="635"/>
      <c r="I29" s="683">
        <f t="shared" si="6"/>
        <v>0</v>
      </c>
      <c r="J29" s="681">
        <f t="shared" si="6"/>
        <v>0</v>
      </c>
      <c r="K29" s="682">
        <f t="shared" si="6"/>
        <v>1544.5257823183974</v>
      </c>
      <c r="M29" s="678"/>
      <c r="N29" s="679" t="s">
        <v>428</v>
      </c>
      <c r="O29" s="680"/>
      <c r="P29" s="681"/>
      <c r="Q29" s="681"/>
      <c r="R29" s="682"/>
      <c r="S29" s="635"/>
      <c r="T29" s="683">
        <v>0</v>
      </c>
      <c r="U29" s="681">
        <v>0</v>
      </c>
      <c r="V29" s="682">
        <v>1920</v>
      </c>
    </row>
    <row r="30" spans="1:22" s="618" customFormat="1">
      <c r="A30" s="616"/>
      <c r="B30" s="678"/>
      <c r="C30" s="679" t="s">
        <v>429</v>
      </c>
      <c r="D30" s="680"/>
      <c r="E30" s="681"/>
      <c r="F30" s="681"/>
      <c r="G30" s="682"/>
      <c r="H30" s="635"/>
      <c r="I30" s="683">
        <f t="shared" si="6"/>
        <v>0</v>
      </c>
      <c r="J30" s="681">
        <f t="shared" si="6"/>
        <v>0</v>
      </c>
      <c r="K30" s="682">
        <f t="shared" si="6"/>
        <v>14293.741452819562</v>
      </c>
      <c r="M30" s="678"/>
      <c r="N30" s="679" t="s">
        <v>429</v>
      </c>
      <c r="O30" s="680"/>
      <c r="P30" s="681"/>
      <c r="Q30" s="681"/>
      <c r="R30" s="682"/>
      <c r="S30" s="635"/>
      <c r="T30" s="683">
        <v>0</v>
      </c>
      <c r="U30" s="681">
        <v>0</v>
      </c>
      <c r="V30" s="682">
        <v>17768.55</v>
      </c>
    </row>
    <row r="31" spans="1:22" s="618" customFormat="1">
      <c r="A31" s="616"/>
      <c r="B31" s="684"/>
      <c r="C31" s="685" t="s">
        <v>430</v>
      </c>
      <c r="D31" s="680"/>
      <c r="E31" s="681"/>
      <c r="F31" s="681"/>
      <c r="G31" s="682"/>
      <c r="H31" s="635"/>
      <c r="I31" s="686">
        <f t="shared" si="6"/>
        <v>12718.388341191598</v>
      </c>
      <c r="J31" s="687">
        <f t="shared" si="6"/>
        <v>0</v>
      </c>
      <c r="K31" s="688">
        <f t="shared" si="6"/>
        <v>0</v>
      </c>
      <c r="M31" s="684"/>
      <c r="N31" s="685" t="s">
        <v>430</v>
      </c>
      <c r="O31" s="680"/>
      <c r="P31" s="681"/>
      <c r="Q31" s="681"/>
      <c r="R31" s="682"/>
      <c r="S31" s="635"/>
      <c r="T31" s="686">
        <v>14836</v>
      </c>
      <c r="U31" s="687"/>
      <c r="V31" s="688"/>
    </row>
    <row r="32" spans="1:22" s="618" customFormat="1" ht="20.100000000000001" customHeight="1">
      <c r="A32" s="616"/>
      <c r="B32" s="677"/>
      <c r="C32" s="633" t="s">
        <v>431</v>
      </c>
      <c r="D32" s="634">
        <v>1</v>
      </c>
      <c r="E32" s="612" t="s">
        <v>249</v>
      </c>
      <c r="F32" s="612">
        <v>76649.971694809894</v>
      </c>
      <c r="G32" s="613">
        <f t="shared" ref="G32" si="7">F32*D32</f>
        <v>76649.971694809894</v>
      </c>
      <c r="H32" s="635"/>
      <c r="I32" s="611">
        <f>SUM(I33)</f>
        <v>1594.5135019288468</v>
      </c>
      <c r="J32" s="612">
        <f>SUM(J33)</f>
        <v>0</v>
      </c>
      <c r="K32" s="613">
        <f>SUM(K33)</f>
        <v>2973.2121309629151</v>
      </c>
      <c r="M32" s="677"/>
      <c r="N32" s="633" t="s">
        <v>431</v>
      </c>
      <c r="O32" s="634">
        <v>1</v>
      </c>
      <c r="P32" s="612" t="s">
        <v>249</v>
      </c>
      <c r="Q32" s="612">
        <v>76649.971694809894</v>
      </c>
      <c r="R32" s="613">
        <f t="shared" ref="R32" si="8">Q32*O32</f>
        <v>76649.971694809894</v>
      </c>
      <c r="S32" s="635"/>
      <c r="T32" s="611">
        <f>SUM(T33)</f>
        <v>1860</v>
      </c>
      <c r="U32" s="612">
        <f t="shared" ref="U32:V32" si="9">SUM(U33)</f>
        <v>0</v>
      </c>
      <c r="V32" s="613">
        <f t="shared" si="9"/>
        <v>3696</v>
      </c>
    </row>
    <row r="33" spans="1:22" s="618" customFormat="1">
      <c r="A33" s="616"/>
      <c r="B33" s="678"/>
      <c r="C33" s="679" t="s">
        <v>432</v>
      </c>
      <c r="D33" s="680"/>
      <c r="E33" s="681"/>
      <c r="F33" s="681"/>
      <c r="G33" s="682"/>
      <c r="H33" s="635"/>
      <c r="I33" s="683">
        <f>T33/I$4</f>
        <v>1594.5135019288468</v>
      </c>
      <c r="J33" s="681">
        <f>U33/J$4</f>
        <v>0</v>
      </c>
      <c r="K33" s="682">
        <f>V33/K$4</f>
        <v>2973.2121309629151</v>
      </c>
      <c r="M33" s="678"/>
      <c r="N33" s="679" t="s">
        <v>432</v>
      </c>
      <c r="O33" s="680"/>
      <c r="P33" s="681"/>
      <c r="Q33" s="681"/>
      <c r="R33" s="682"/>
      <c r="S33" s="635"/>
      <c r="T33" s="683">
        <v>1860</v>
      </c>
      <c r="U33" s="681"/>
      <c r="V33" s="682">
        <v>3696</v>
      </c>
    </row>
    <row r="34" spans="1:22" s="618" customFormat="1" ht="20.100000000000001" customHeight="1">
      <c r="A34" s="616"/>
      <c r="B34" s="677"/>
      <c r="C34" s="633" t="s">
        <v>433</v>
      </c>
      <c r="D34" s="634">
        <v>2</v>
      </c>
      <c r="E34" s="612" t="s">
        <v>142</v>
      </c>
      <c r="F34" s="612">
        <v>7664.9971694809901</v>
      </c>
      <c r="G34" s="613">
        <f t="shared" ref="G34" si="10">F34*D34</f>
        <v>15329.99433896198</v>
      </c>
      <c r="H34" s="635"/>
      <c r="I34" s="611">
        <f>SUM(I35:I40)</f>
        <v>10194.599228461208</v>
      </c>
      <c r="J34" s="612">
        <f>SUM(J35:J40)</f>
        <v>24951.88249896566</v>
      </c>
      <c r="K34" s="613">
        <f>SUM(K35:K40)</f>
        <v>17749.601801946745</v>
      </c>
      <c r="M34" s="677"/>
      <c r="N34" s="633" t="s">
        <v>433</v>
      </c>
      <c r="O34" s="634">
        <v>2</v>
      </c>
      <c r="P34" s="612" t="s">
        <v>142</v>
      </c>
      <c r="Q34" s="612">
        <v>7664.9971694809901</v>
      </c>
      <c r="R34" s="613">
        <f t="shared" ref="R34" si="11">Q34*O34</f>
        <v>15329.99433896198</v>
      </c>
      <c r="S34" s="635"/>
      <c r="T34" s="611">
        <f>SUM(T35:T40)</f>
        <v>11892</v>
      </c>
      <c r="U34" s="612">
        <f t="shared" ref="U34:V34" si="12">SUM(U35:U40)</f>
        <v>30154.35</v>
      </c>
      <c r="V34" s="613">
        <f t="shared" si="12"/>
        <v>22064.53</v>
      </c>
    </row>
    <row r="35" spans="1:22" s="618" customFormat="1">
      <c r="A35" s="616"/>
      <c r="B35" s="678"/>
      <c r="C35" s="679" t="s">
        <v>434</v>
      </c>
      <c r="D35" s="680"/>
      <c r="E35" s="681"/>
      <c r="F35" s="681"/>
      <c r="G35" s="682"/>
      <c r="H35" s="635"/>
      <c r="I35" s="683">
        <f t="shared" ref="I35:K40" si="13">T35/I$4</f>
        <v>5829.4042006000855</v>
      </c>
      <c r="J35" s="681">
        <f t="shared" si="13"/>
        <v>0</v>
      </c>
      <c r="K35" s="682">
        <f t="shared" si="13"/>
        <v>0</v>
      </c>
      <c r="M35" s="678"/>
      <c r="N35" s="679" t="s">
        <v>434</v>
      </c>
      <c r="O35" s="680"/>
      <c r="P35" s="681"/>
      <c r="Q35" s="681"/>
      <c r="R35" s="682"/>
      <c r="S35" s="635"/>
      <c r="T35" s="683">
        <v>6800</v>
      </c>
      <c r="U35" s="681">
        <v>0</v>
      </c>
      <c r="V35" s="682">
        <v>0</v>
      </c>
    </row>
    <row r="36" spans="1:22" s="618" customFormat="1">
      <c r="A36" s="616"/>
      <c r="B36" s="689"/>
      <c r="C36" s="690" t="s">
        <v>435</v>
      </c>
      <c r="D36" s="680"/>
      <c r="E36" s="681"/>
      <c r="F36" s="681"/>
      <c r="G36" s="682"/>
      <c r="H36" s="635"/>
      <c r="I36" s="686">
        <f t="shared" si="13"/>
        <v>0</v>
      </c>
      <c r="J36" s="687">
        <f t="shared" si="13"/>
        <v>21972.983036822508</v>
      </c>
      <c r="K36" s="688">
        <f t="shared" si="13"/>
        <v>1206.6607674362481</v>
      </c>
      <c r="M36" s="689"/>
      <c r="N36" s="690" t="s">
        <v>435</v>
      </c>
      <c r="O36" s="680"/>
      <c r="P36" s="681"/>
      <c r="Q36" s="681"/>
      <c r="R36" s="682"/>
      <c r="S36" s="635"/>
      <c r="T36" s="686">
        <v>0</v>
      </c>
      <c r="U36" s="687">
        <v>26554.35</v>
      </c>
      <c r="V36" s="688">
        <v>1500</v>
      </c>
    </row>
    <row r="37" spans="1:22" s="618" customFormat="1">
      <c r="A37" s="616"/>
      <c r="B37" s="689"/>
      <c r="C37" s="690" t="s">
        <v>436</v>
      </c>
      <c r="D37" s="680"/>
      <c r="E37" s="681"/>
      <c r="F37" s="681"/>
      <c r="G37" s="682"/>
      <c r="H37" s="635"/>
      <c r="I37" s="686">
        <f t="shared" si="13"/>
        <v>0</v>
      </c>
      <c r="J37" s="687">
        <f t="shared" si="13"/>
        <v>0</v>
      </c>
      <c r="K37" s="688">
        <f t="shared" si="13"/>
        <v>6970.0989461829295</v>
      </c>
      <c r="M37" s="689"/>
      <c r="N37" s="690" t="s">
        <v>436</v>
      </c>
      <c r="O37" s="680"/>
      <c r="P37" s="681"/>
      <c r="Q37" s="681"/>
      <c r="R37" s="682"/>
      <c r="S37" s="635"/>
      <c r="T37" s="686">
        <v>0</v>
      </c>
      <c r="U37" s="687">
        <v>0</v>
      </c>
      <c r="V37" s="688">
        <v>8664.5300000000007</v>
      </c>
    </row>
    <row r="38" spans="1:22" s="618" customFormat="1" ht="24">
      <c r="A38" s="616"/>
      <c r="B38" s="689"/>
      <c r="C38" s="690" t="s">
        <v>437</v>
      </c>
      <c r="D38" s="680"/>
      <c r="E38" s="681"/>
      <c r="F38" s="681"/>
      <c r="G38" s="682"/>
      <c r="H38" s="635"/>
      <c r="I38" s="686">
        <f t="shared" si="13"/>
        <v>0</v>
      </c>
      <c r="J38" s="687">
        <f t="shared" si="13"/>
        <v>2978.899462143153</v>
      </c>
      <c r="K38" s="688">
        <f t="shared" si="13"/>
        <v>0</v>
      </c>
      <c r="M38" s="689"/>
      <c r="N38" s="690" t="s">
        <v>437</v>
      </c>
      <c r="O38" s="680"/>
      <c r="P38" s="681"/>
      <c r="Q38" s="681"/>
      <c r="R38" s="682"/>
      <c r="S38" s="635"/>
      <c r="T38" s="686">
        <v>0</v>
      </c>
      <c r="U38" s="687">
        <v>3600</v>
      </c>
      <c r="V38" s="688">
        <v>0</v>
      </c>
    </row>
    <row r="39" spans="1:22" s="618" customFormat="1">
      <c r="A39" s="616"/>
      <c r="B39" s="689"/>
      <c r="C39" s="685" t="s">
        <v>438</v>
      </c>
      <c r="D39" s="680"/>
      <c r="E39" s="681"/>
      <c r="F39" s="681"/>
      <c r="G39" s="682"/>
      <c r="H39" s="635"/>
      <c r="I39" s="686">
        <f t="shared" si="13"/>
        <v>4365.195027861123</v>
      </c>
      <c r="J39" s="687">
        <f t="shared" si="13"/>
        <v>0</v>
      </c>
      <c r="K39" s="688">
        <f t="shared" si="13"/>
        <v>0</v>
      </c>
      <c r="M39" s="689"/>
      <c r="N39" s="685" t="s">
        <v>438</v>
      </c>
      <c r="O39" s="680"/>
      <c r="P39" s="681"/>
      <c r="Q39" s="681"/>
      <c r="R39" s="682"/>
      <c r="S39" s="635"/>
      <c r="T39" s="686">
        <v>5092</v>
      </c>
      <c r="U39" s="687">
        <v>0</v>
      </c>
      <c r="V39" s="688">
        <v>0</v>
      </c>
    </row>
    <row r="40" spans="1:22" s="618" customFormat="1">
      <c r="A40" s="616"/>
      <c r="B40" s="689"/>
      <c r="C40" s="685" t="s">
        <v>439</v>
      </c>
      <c r="D40" s="680"/>
      <c r="E40" s="681"/>
      <c r="F40" s="681"/>
      <c r="G40" s="682"/>
      <c r="H40" s="635"/>
      <c r="I40" s="686">
        <f t="shared" si="13"/>
        <v>0</v>
      </c>
      <c r="J40" s="687">
        <f t="shared" si="13"/>
        <v>0</v>
      </c>
      <c r="K40" s="688">
        <f t="shared" si="13"/>
        <v>9572.8420883275667</v>
      </c>
      <c r="M40" s="689"/>
      <c r="N40" s="685" t="s">
        <v>439</v>
      </c>
      <c r="O40" s="680"/>
      <c r="P40" s="681"/>
      <c r="Q40" s="681"/>
      <c r="R40" s="682"/>
      <c r="S40" s="635"/>
      <c r="T40" s="686">
        <v>0</v>
      </c>
      <c r="U40" s="687">
        <v>0</v>
      </c>
      <c r="V40" s="688">
        <v>11900</v>
      </c>
    </row>
    <row r="41" spans="1:22" s="618" customFormat="1" ht="20.100000000000001" customHeight="1">
      <c r="A41" s="616"/>
      <c r="B41" s="677"/>
      <c r="C41" s="633" t="s">
        <v>440</v>
      </c>
      <c r="D41" s="634">
        <v>2</v>
      </c>
      <c r="E41" s="612" t="s">
        <v>142</v>
      </c>
      <c r="F41" s="612">
        <v>4087.9984903898617</v>
      </c>
      <c r="G41" s="613">
        <f t="shared" ref="G41" si="14">F41*D41</f>
        <v>8175.9969807797233</v>
      </c>
      <c r="H41" s="635"/>
      <c r="I41" s="611">
        <f>SUM(I42)</f>
        <v>713.24474924989283</v>
      </c>
      <c r="J41" s="612">
        <f>SUM(J42)</f>
        <v>0</v>
      </c>
      <c r="K41" s="613">
        <f>SUM(K42)</f>
        <v>0</v>
      </c>
      <c r="M41" s="677"/>
      <c r="N41" s="633" t="s">
        <v>440</v>
      </c>
      <c r="O41" s="634">
        <v>2</v>
      </c>
      <c r="P41" s="612" t="s">
        <v>142</v>
      </c>
      <c r="Q41" s="612">
        <v>4087.9984903898617</v>
      </c>
      <c r="R41" s="613">
        <f t="shared" ref="R41" si="15">Q41*O41</f>
        <v>8175.9969807797233</v>
      </c>
      <c r="S41" s="635"/>
      <c r="T41" s="611">
        <f>SUM(T42)</f>
        <v>832</v>
      </c>
      <c r="U41" s="612">
        <f t="shared" ref="U41:V41" si="16">SUM(U42)</f>
        <v>0</v>
      </c>
      <c r="V41" s="613">
        <f t="shared" si="16"/>
        <v>0</v>
      </c>
    </row>
    <row r="42" spans="1:22" s="618" customFormat="1">
      <c r="A42" s="616"/>
      <c r="B42" s="678"/>
      <c r="C42" s="679" t="s">
        <v>441</v>
      </c>
      <c r="D42" s="680"/>
      <c r="E42" s="681"/>
      <c r="F42" s="681"/>
      <c r="G42" s="682"/>
      <c r="H42" s="635"/>
      <c r="I42" s="683">
        <f>T42/I$4</f>
        <v>713.24474924989283</v>
      </c>
      <c r="J42" s="681">
        <f>U42/J$4</f>
        <v>0</v>
      </c>
      <c r="K42" s="682">
        <f>V42/K$4</f>
        <v>0</v>
      </c>
      <c r="M42" s="678"/>
      <c r="N42" s="679" t="s">
        <v>441</v>
      </c>
      <c r="O42" s="680"/>
      <c r="P42" s="681"/>
      <c r="Q42" s="681"/>
      <c r="R42" s="682"/>
      <c r="S42" s="635"/>
      <c r="T42" s="683">
        <v>832</v>
      </c>
      <c r="U42" s="681"/>
      <c r="V42" s="682"/>
    </row>
    <row r="43" spans="1:22" s="618" customFormat="1" ht="20.100000000000001" customHeight="1" thickBot="1">
      <c r="A43" s="616"/>
      <c r="B43" s="691"/>
      <c r="C43" s="692" t="s">
        <v>442</v>
      </c>
      <c r="D43" s="693">
        <v>3</v>
      </c>
      <c r="E43" s="640" t="s">
        <v>142</v>
      </c>
      <c r="F43" s="640">
        <v>2043.9992451949308</v>
      </c>
      <c r="G43" s="641">
        <f t="shared" ref="G43" si="17">F43*D43</f>
        <v>6131.9977355847923</v>
      </c>
      <c r="H43" s="635"/>
      <c r="I43" s="639">
        <v>0</v>
      </c>
      <c r="J43" s="640">
        <v>0</v>
      </c>
      <c r="K43" s="641">
        <v>0</v>
      </c>
      <c r="M43" s="691"/>
      <c r="N43" s="692" t="s">
        <v>442</v>
      </c>
      <c r="O43" s="693">
        <v>3</v>
      </c>
      <c r="P43" s="640" t="s">
        <v>142</v>
      </c>
      <c r="Q43" s="640">
        <v>2043.9992451949308</v>
      </c>
      <c r="R43" s="641">
        <f t="shared" ref="R43" si="18">Q43*O43</f>
        <v>6131.9977355847923</v>
      </c>
      <c r="S43" s="635"/>
      <c r="T43" s="639">
        <v>0</v>
      </c>
      <c r="U43" s="640">
        <v>0</v>
      </c>
      <c r="V43" s="641">
        <v>0</v>
      </c>
    </row>
    <row r="44" spans="1:22" s="618" customFormat="1" ht="13.5" thickBot="1">
      <c r="A44" s="616"/>
      <c r="B44" s="694"/>
      <c r="C44" s="695"/>
      <c r="D44" s="696"/>
      <c r="E44" s="697"/>
      <c r="F44" s="697"/>
      <c r="G44" s="697"/>
      <c r="H44" s="698"/>
      <c r="I44" s="697"/>
      <c r="J44" s="697"/>
      <c r="K44" s="697"/>
      <c r="M44" s="694"/>
      <c r="N44" s="695"/>
      <c r="O44" s="696"/>
      <c r="P44" s="697"/>
      <c r="Q44" s="697"/>
      <c r="R44" s="697"/>
      <c r="S44" s="698"/>
      <c r="T44" s="697"/>
      <c r="U44" s="697"/>
      <c r="V44" s="697"/>
    </row>
    <row r="45" spans="1:22" s="618" customFormat="1" ht="20.100000000000001" customHeight="1" thickBot="1">
      <c r="A45" s="616"/>
      <c r="B45" s="699" t="s">
        <v>148</v>
      </c>
      <c r="C45" s="700" t="s">
        <v>149</v>
      </c>
      <c r="D45" s="701"/>
      <c r="E45" s="644"/>
      <c r="F45" s="644"/>
      <c r="G45" s="702">
        <f>SUM(G46:G46)</f>
        <v>0</v>
      </c>
      <c r="H45" s="632"/>
      <c r="I45" s="703">
        <f>I46</f>
        <v>0</v>
      </c>
      <c r="J45" s="644">
        <f>J46</f>
        <v>0</v>
      </c>
      <c r="K45" s="702">
        <f>K46</f>
        <v>0</v>
      </c>
      <c r="M45" s="699" t="s">
        <v>148</v>
      </c>
      <c r="N45" s="700" t="s">
        <v>149</v>
      </c>
      <c r="O45" s="701"/>
      <c r="P45" s="644"/>
      <c r="Q45" s="644"/>
      <c r="R45" s="702">
        <f>SUM(R46:R46)</f>
        <v>0</v>
      </c>
      <c r="S45" s="632"/>
      <c r="T45" s="703">
        <f>T46</f>
        <v>0</v>
      </c>
      <c r="U45" s="644">
        <f>U46</f>
        <v>0</v>
      </c>
      <c r="V45" s="702">
        <f>V46</f>
        <v>0</v>
      </c>
    </row>
    <row r="46" spans="1:22" s="618" customFormat="1" ht="20.100000000000001" customHeight="1" thickBot="1">
      <c r="A46" s="616"/>
      <c r="B46" s="704"/>
      <c r="C46" s="705"/>
      <c r="D46" s="636"/>
      <c r="E46" s="637"/>
      <c r="F46" s="637"/>
      <c r="G46" s="638"/>
      <c r="H46" s="635"/>
      <c r="I46" s="655">
        <f>T46/I$4</f>
        <v>0</v>
      </c>
      <c r="J46" s="637">
        <f>U46/J$4</f>
        <v>0</v>
      </c>
      <c r="K46" s="638">
        <f>V46/K$4</f>
        <v>0</v>
      </c>
      <c r="M46" s="704"/>
      <c r="N46" s="705"/>
      <c r="O46" s="636"/>
      <c r="P46" s="637"/>
      <c r="Q46" s="637"/>
      <c r="R46" s="638"/>
      <c r="S46" s="635"/>
      <c r="T46" s="655">
        <v>0</v>
      </c>
      <c r="U46" s="637">
        <v>0</v>
      </c>
      <c r="V46" s="638">
        <v>0</v>
      </c>
    </row>
    <row r="47" spans="1:22" s="618" customFormat="1" ht="20.100000000000001" customHeight="1" thickBot="1">
      <c r="A47" s="616"/>
      <c r="B47" s="617"/>
      <c r="C47" s="617"/>
      <c r="D47" s="617"/>
      <c r="E47" s="642"/>
      <c r="F47" s="642"/>
      <c r="G47" s="642"/>
      <c r="H47" s="617"/>
      <c r="I47" s="697"/>
      <c r="J47" s="697"/>
      <c r="K47" s="697"/>
      <c r="M47" s="617"/>
      <c r="N47" s="617"/>
      <c r="O47" s="617"/>
      <c r="P47" s="642"/>
      <c r="Q47" s="642"/>
      <c r="R47" s="642"/>
      <c r="S47" s="617"/>
      <c r="T47" s="697"/>
      <c r="U47" s="697"/>
      <c r="V47" s="697"/>
    </row>
    <row r="48" spans="1:22" s="618" customFormat="1" ht="20.100000000000001" customHeight="1" thickBot="1">
      <c r="A48" s="616"/>
      <c r="B48" s="699" t="s">
        <v>150</v>
      </c>
      <c r="C48" s="661" t="s">
        <v>151</v>
      </c>
      <c r="D48" s="706"/>
      <c r="E48" s="644"/>
      <c r="F48" s="707"/>
      <c r="G48" s="625">
        <f>SUM(G49:G51)</f>
        <v>181915.93282234881</v>
      </c>
      <c r="H48" s="708"/>
      <c r="I48" s="625">
        <f>I49+I50</f>
        <v>0</v>
      </c>
      <c r="J48" s="625">
        <f>J49+J50</f>
        <v>195290.85643359539</v>
      </c>
      <c r="K48" s="625">
        <f>K49+K50</f>
        <v>0</v>
      </c>
      <c r="M48" s="699" t="s">
        <v>150</v>
      </c>
      <c r="N48" s="661" t="s">
        <v>151</v>
      </c>
      <c r="O48" s="706"/>
      <c r="P48" s="644"/>
      <c r="Q48" s="707"/>
      <c r="R48" s="625">
        <f>SUM(R49:R51)</f>
        <v>181915.93282234881</v>
      </c>
      <c r="S48" s="708"/>
      <c r="T48" s="625">
        <f>T49+T50</f>
        <v>0</v>
      </c>
      <c r="U48" s="625">
        <f>U49+U50</f>
        <v>236009</v>
      </c>
      <c r="V48" s="625">
        <f>V49+V50</f>
        <v>0</v>
      </c>
    </row>
    <row r="49" spans="1:22" s="618" customFormat="1" ht="20.100000000000001" customHeight="1">
      <c r="A49" s="616"/>
      <c r="B49" s="709"/>
      <c r="C49" s="645" t="s">
        <v>443</v>
      </c>
      <c r="D49" s="646">
        <v>7</v>
      </c>
      <c r="E49" s="647" t="s">
        <v>142</v>
      </c>
      <c r="F49" s="647">
        <v>4087.9984903898612</v>
      </c>
      <c r="G49" s="648">
        <f t="shared" ref="G49:G50" si="19">F49*D49</f>
        <v>28615.989432729028</v>
      </c>
      <c r="H49" s="635"/>
      <c r="I49" s="649">
        <f>T49/I$4</f>
        <v>0</v>
      </c>
      <c r="J49" s="647">
        <f>U49/J$4</f>
        <v>0</v>
      </c>
      <c r="K49" s="648">
        <f>V49/K$4</f>
        <v>0</v>
      </c>
      <c r="M49" s="709"/>
      <c r="N49" s="645" t="s">
        <v>443</v>
      </c>
      <c r="O49" s="646">
        <v>7</v>
      </c>
      <c r="P49" s="647" t="s">
        <v>142</v>
      </c>
      <c r="Q49" s="647">
        <v>4087.9984903898612</v>
      </c>
      <c r="R49" s="648">
        <f t="shared" ref="R49:R50" si="20">Q49*O49</f>
        <v>28615.989432729028</v>
      </c>
      <c r="S49" s="635"/>
      <c r="T49" s="649">
        <v>0</v>
      </c>
      <c r="U49" s="647">
        <v>0</v>
      </c>
      <c r="V49" s="648">
        <v>0</v>
      </c>
    </row>
    <row r="50" spans="1:22" s="618" customFormat="1" ht="20.100000000000001" customHeight="1">
      <c r="A50" s="616"/>
      <c r="B50" s="710"/>
      <c r="C50" s="654" t="s">
        <v>444</v>
      </c>
      <c r="D50" s="634">
        <v>1</v>
      </c>
      <c r="E50" s="612" t="s">
        <v>249</v>
      </c>
      <c r="F50" s="612">
        <v>153299.94338961979</v>
      </c>
      <c r="G50" s="613">
        <f t="shared" si="19"/>
        <v>153299.94338961979</v>
      </c>
      <c r="H50" s="635"/>
      <c r="I50" s="611">
        <f>I51</f>
        <v>0</v>
      </c>
      <c r="J50" s="612">
        <f>J51</f>
        <v>195290.85643359539</v>
      </c>
      <c r="K50" s="613">
        <f>K51</f>
        <v>0</v>
      </c>
      <c r="M50" s="710"/>
      <c r="N50" s="654" t="s">
        <v>444</v>
      </c>
      <c r="O50" s="634">
        <v>1</v>
      </c>
      <c r="P50" s="612" t="s">
        <v>249</v>
      </c>
      <c r="Q50" s="612">
        <v>153299.94338961979</v>
      </c>
      <c r="R50" s="613">
        <f t="shared" si="20"/>
        <v>153299.94338961979</v>
      </c>
      <c r="S50" s="635"/>
      <c r="T50" s="611">
        <f>T51</f>
        <v>0</v>
      </c>
      <c r="U50" s="612">
        <f>U51</f>
        <v>236009</v>
      </c>
      <c r="V50" s="613">
        <f>V51</f>
        <v>0</v>
      </c>
    </row>
    <row r="51" spans="1:22" s="618" customFormat="1" ht="13.5" thickBot="1">
      <c r="A51" s="616"/>
      <c r="B51" s="704"/>
      <c r="C51" s="711" t="s">
        <v>445</v>
      </c>
      <c r="D51" s="712"/>
      <c r="E51" s="713"/>
      <c r="F51" s="713"/>
      <c r="G51" s="714"/>
      <c r="H51" s="715"/>
      <c r="I51" s="716">
        <f>T51/I$4</f>
        <v>0</v>
      </c>
      <c r="J51" s="713">
        <f>U51/J$4</f>
        <v>195290.85643359539</v>
      </c>
      <c r="K51" s="714">
        <f>V51/K$4</f>
        <v>0</v>
      </c>
      <c r="M51" s="704"/>
      <c r="N51" s="711" t="s">
        <v>445</v>
      </c>
      <c r="O51" s="712"/>
      <c r="P51" s="713"/>
      <c r="Q51" s="713"/>
      <c r="R51" s="714"/>
      <c r="S51" s="715"/>
      <c r="T51" s="716"/>
      <c r="U51" s="713">
        <v>236009</v>
      </c>
      <c r="V51" s="714"/>
    </row>
    <row r="52" spans="1:22" s="618" customFormat="1" ht="20.100000000000001" customHeight="1" thickBot="1">
      <c r="A52" s="616"/>
      <c r="B52" s="617"/>
      <c r="C52" s="651"/>
      <c r="D52" s="652"/>
      <c r="E52" s="642"/>
      <c r="F52" s="642"/>
      <c r="G52" s="642"/>
      <c r="H52" s="635"/>
      <c r="I52" s="643"/>
      <c r="J52" s="643"/>
      <c r="K52" s="643"/>
      <c r="M52" s="617"/>
      <c r="N52" s="651"/>
      <c r="O52" s="652"/>
      <c r="P52" s="642"/>
      <c r="Q52" s="642"/>
      <c r="R52" s="642"/>
      <c r="S52" s="635"/>
      <c r="T52" s="643"/>
      <c r="U52" s="643"/>
      <c r="V52" s="643"/>
    </row>
    <row r="53" spans="1:22" s="618" customFormat="1" ht="20.100000000000001" customHeight="1" thickBot="1">
      <c r="A53" s="616"/>
      <c r="B53" s="699" t="s">
        <v>152</v>
      </c>
      <c r="C53" s="717" t="s">
        <v>153</v>
      </c>
      <c r="D53" s="718"/>
      <c r="E53" s="653"/>
      <c r="F53" s="653"/>
      <c r="G53" s="625">
        <f>SUM(G54:G60)</f>
        <v>1081581.1479206672</v>
      </c>
      <c r="H53" s="632"/>
      <c r="I53" s="625">
        <f>I54+I59+I60</f>
        <v>117009.49849978567</v>
      </c>
      <c r="J53" s="625">
        <f>J54+J59+J60</f>
        <v>15284.203558129915</v>
      </c>
      <c r="K53" s="625">
        <f>K54+K59+K60</f>
        <v>66314.391440752952</v>
      </c>
      <c r="M53" s="699" t="s">
        <v>152</v>
      </c>
      <c r="N53" s="717" t="s">
        <v>153</v>
      </c>
      <c r="O53" s="718"/>
      <c r="P53" s="653"/>
      <c r="Q53" s="653"/>
      <c r="R53" s="625">
        <f>SUM(R54:R60)</f>
        <v>1081581.1479206672</v>
      </c>
      <c r="S53" s="632"/>
      <c r="T53" s="625">
        <f>T54+T59+T60</f>
        <v>136491.57999999999</v>
      </c>
      <c r="U53" s="625">
        <f t="shared" ref="U53:V53" si="21">U54+U59+U60</f>
        <v>18470.96</v>
      </c>
      <c r="V53" s="625">
        <f t="shared" si="21"/>
        <v>82435.42</v>
      </c>
    </row>
    <row r="54" spans="1:22" s="618" customFormat="1" ht="20.100000000000001" customHeight="1">
      <c r="A54" s="616"/>
      <c r="B54" s="709"/>
      <c r="C54" s="645" t="s">
        <v>446</v>
      </c>
      <c r="D54" s="646">
        <v>1</v>
      </c>
      <c r="E54" s="647" t="s">
        <v>249</v>
      </c>
      <c r="F54" s="647">
        <v>124683.95395689078</v>
      </c>
      <c r="G54" s="648">
        <f t="shared" ref="G54" si="22">F54*D54</f>
        <v>124683.95395689078</v>
      </c>
      <c r="H54" s="635"/>
      <c r="I54" s="649">
        <f>I55+I56+I57+I58</f>
        <v>91059.039862837541</v>
      </c>
      <c r="J54" s="647">
        <f>J55+J56+J57+J58</f>
        <v>15284.203558129915</v>
      </c>
      <c r="K54" s="648">
        <f>K55+K56+K57+K58</f>
        <v>25068.602686831306</v>
      </c>
      <c r="M54" s="709"/>
      <c r="N54" s="645" t="s">
        <v>446</v>
      </c>
      <c r="O54" s="646">
        <v>1</v>
      </c>
      <c r="P54" s="647" t="s">
        <v>249</v>
      </c>
      <c r="Q54" s="647">
        <v>124683.95395689078</v>
      </c>
      <c r="R54" s="648">
        <f t="shared" ref="R54" si="23">Q54*O54</f>
        <v>124683.95395689078</v>
      </c>
      <c r="S54" s="635"/>
      <c r="T54" s="649">
        <f>T55+T56+T57+T58</f>
        <v>106220.37</v>
      </c>
      <c r="U54" s="647">
        <f t="shared" ref="U54:V54" si="24">U55+U56+U57+U58</f>
        <v>18470.96</v>
      </c>
      <c r="V54" s="648">
        <f t="shared" si="24"/>
        <v>31162.78</v>
      </c>
    </row>
    <row r="55" spans="1:22" s="618" customFormat="1">
      <c r="A55" s="616"/>
      <c r="B55" s="684"/>
      <c r="C55" s="719" t="s">
        <v>251</v>
      </c>
      <c r="D55" s="720"/>
      <c r="E55" s="721"/>
      <c r="F55" s="721"/>
      <c r="G55" s="722"/>
      <c r="H55" s="635"/>
      <c r="I55" s="723">
        <f t="shared" ref="I55:K60" si="25">T55/I$4</f>
        <v>77103.163309044146</v>
      </c>
      <c r="J55" s="721">
        <f t="shared" si="25"/>
        <v>0</v>
      </c>
      <c r="K55" s="722">
        <f t="shared" si="25"/>
        <v>0</v>
      </c>
      <c r="M55" s="684"/>
      <c r="N55" s="719" t="s">
        <v>251</v>
      </c>
      <c r="O55" s="720"/>
      <c r="P55" s="721"/>
      <c r="Q55" s="721"/>
      <c r="R55" s="722"/>
      <c r="S55" s="635"/>
      <c r="T55" s="723">
        <v>89940.84</v>
      </c>
      <c r="U55" s="721">
        <v>0</v>
      </c>
      <c r="V55" s="722">
        <v>0</v>
      </c>
    </row>
    <row r="56" spans="1:22" s="618" customFormat="1">
      <c r="A56" s="616"/>
      <c r="B56" s="684"/>
      <c r="C56" s="690" t="s">
        <v>447</v>
      </c>
      <c r="D56" s="680"/>
      <c r="E56" s="681"/>
      <c r="F56" s="681"/>
      <c r="G56" s="682"/>
      <c r="H56" s="635"/>
      <c r="I56" s="683">
        <f t="shared" si="25"/>
        <v>8962.7089584226305</v>
      </c>
      <c r="J56" s="681">
        <f t="shared" si="25"/>
        <v>0</v>
      </c>
      <c r="K56" s="682">
        <f t="shared" si="25"/>
        <v>6555.6109725685783</v>
      </c>
      <c r="M56" s="684"/>
      <c r="N56" s="690" t="s">
        <v>447</v>
      </c>
      <c r="O56" s="680"/>
      <c r="P56" s="681"/>
      <c r="Q56" s="681"/>
      <c r="R56" s="682"/>
      <c r="S56" s="635"/>
      <c r="T56" s="683">
        <v>10455</v>
      </c>
      <c r="U56" s="681">
        <v>0</v>
      </c>
      <c r="V56" s="682">
        <v>8149.28</v>
      </c>
    </row>
    <row r="57" spans="1:22" s="618" customFormat="1">
      <c r="A57" s="616"/>
      <c r="B57" s="684"/>
      <c r="C57" s="690" t="s">
        <v>448</v>
      </c>
      <c r="D57" s="680"/>
      <c r="E57" s="681"/>
      <c r="F57" s="681"/>
      <c r="G57" s="682"/>
      <c r="H57" s="635"/>
      <c r="I57" s="683">
        <f t="shared" si="25"/>
        <v>0</v>
      </c>
      <c r="J57" s="681">
        <f t="shared" si="25"/>
        <v>12913.818783616054</v>
      </c>
      <c r="K57" s="682">
        <f t="shared" si="25"/>
        <v>12024.897433834767</v>
      </c>
      <c r="M57" s="684"/>
      <c r="N57" s="690" t="s">
        <v>448</v>
      </c>
      <c r="O57" s="680"/>
      <c r="P57" s="681"/>
      <c r="Q57" s="681"/>
      <c r="R57" s="682"/>
      <c r="S57" s="635"/>
      <c r="T57" s="683"/>
      <c r="U57" s="681">
        <v>15606.35</v>
      </c>
      <c r="V57" s="682">
        <v>14948.15</v>
      </c>
    </row>
    <row r="58" spans="1:22" s="618" customFormat="1">
      <c r="A58" s="616"/>
      <c r="B58" s="684"/>
      <c r="C58" s="690" t="s">
        <v>449</v>
      </c>
      <c r="D58" s="680"/>
      <c r="E58" s="681"/>
      <c r="F58" s="681"/>
      <c r="G58" s="682"/>
      <c r="H58" s="635"/>
      <c r="I58" s="683">
        <f t="shared" si="25"/>
        <v>4993.1675953707663</v>
      </c>
      <c r="J58" s="681">
        <f t="shared" si="25"/>
        <v>2370.3847745138605</v>
      </c>
      <c r="K58" s="682">
        <f t="shared" si="25"/>
        <v>6488.0942804279621</v>
      </c>
      <c r="M58" s="684"/>
      <c r="N58" s="690" t="s">
        <v>449</v>
      </c>
      <c r="O58" s="680"/>
      <c r="P58" s="681"/>
      <c r="Q58" s="681"/>
      <c r="R58" s="682"/>
      <c r="S58" s="635"/>
      <c r="T58" s="683">
        <v>5824.53</v>
      </c>
      <c r="U58" s="681">
        <v>2864.61</v>
      </c>
      <c r="V58" s="682">
        <v>8065.35</v>
      </c>
    </row>
    <row r="59" spans="1:22" s="618" customFormat="1" ht="30" customHeight="1">
      <c r="A59" s="616"/>
      <c r="B59" s="684"/>
      <c r="C59" s="654" t="s">
        <v>252</v>
      </c>
      <c r="D59" s="634">
        <v>205</v>
      </c>
      <c r="E59" s="612" t="s">
        <v>142</v>
      </c>
      <c r="F59" s="612">
        <v>112.10254821896351</v>
      </c>
      <c r="G59" s="613">
        <f t="shared" ref="G59" si="26">F59*D59</f>
        <v>22981.022384887518</v>
      </c>
      <c r="H59" s="635"/>
      <c r="I59" s="611">
        <f t="shared" si="25"/>
        <v>25950.458636948133</v>
      </c>
      <c r="J59" s="612">
        <f t="shared" si="25"/>
        <v>0</v>
      </c>
      <c r="K59" s="613">
        <f t="shared" si="25"/>
        <v>0</v>
      </c>
      <c r="M59" s="684"/>
      <c r="N59" s="654" t="s">
        <v>252</v>
      </c>
      <c r="O59" s="634">
        <v>205</v>
      </c>
      <c r="P59" s="612" t="s">
        <v>142</v>
      </c>
      <c r="Q59" s="612">
        <v>112.10254821896351</v>
      </c>
      <c r="R59" s="613">
        <f t="shared" ref="R59" si="27">Q59*O59</f>
        <v>22981.022384887518</v>
      </c>
      <c r="S59" s="635"/>
      <c r="T59" s="611">
        <v>30271.21</v>
      </c>
      <c r="U59" s="612">
        <v>0</v>
      </c>
      <c r="V59" s="613">
        <v>0</v>
      </c>
    </row>
    <row r="60" spans="1:22" s="618" customFormat="1" ht="20.100000000000001" customHeight="1" thickBot="1">
      <c r="A60" s="616"/>
      <c r="B60" s="704"/>
      <c r="C60" s="650" t="s">
        <v>253</v>
      </c>
      <c r="D60" s="636">
        <v>1</v>
      </c>
      <c r="E60" s="637" t="s">
        <v>249</v>
      </c>
      <c r="F60" s="637">
        <v>933916.17157888901</v>
      </c>
      <c r="G60" s="638">
        <f>F60*D60</f>
        <v>933916.17157888901</v>
      </c>
      <c r="H60" s="635"/>
      <c r="I60" s="655">
        <f t="shared" si="25"/>
        <v>0</v>
      </c>
      <c r="J60" s="637">
        <f t="shared" si="25"/>
        <v>0</v>
      </c>
      <c r="K60" s="638">
        <f t="shared" si="25"/>
        <v>41245.788753921646</v>
      </c>
      <c r="M60" s="704"/>
      <c r="N60" s="650" t="s">
        <v>253</v>
      </c>
      <c r="O60" s="636">
        <v>1</v>
      </c>
      <c r="P60" s="637" t="s">
        <v>249</v>
      </c>
      <c r="Q60" s="637">
        <v>933916.17157888901</v>
      </c>
      <c r="R60" s="638">
        <f>Q60*O60</f>
        <v>933916.17157888901</v>
      </c>
      <c r="S60" s="635"/>
      <c r="T60" s="655">
        <v>0</v>
      </c>
      <c r="U60" s="637">
        <v>0</v>
      </c>
      <c r="V60" s="638">
        <v>51272.639999999999</v>
      </c>
    </row>
    <row r="61" spans="1:22" s="618" customFormat="1" ht="20.100000000000001" customHeight="1" thickBot="1">
      <c r="A61" s="616"/>
      <c r="B61" s="617"/>
      <c r="C61" s="617"/>
      <c r="D61" s="617"/>
      <c r="E61" s="642"/>
      <c r="F61" s="642"/>
      <c r="G61" s="642"/>
      <c r="H61" s="656"/>
      <c r="I61" s="643"/>
      <c r="J61" s="643"/>
      <c r="K61" s="643"/>
      <c r="M61" s="617"/>
      <c r="N61" s="617"/>
      <c r="O61" s="617"/>
      <c r="P61" s="642"/>
      <c r="Q61" s="642"/>
      <c r="R61" s="642"/>
      <c r="S61" s="656"/>
      <c r="T61" s="643"/>
      <c r="U61" s="643"/>
      <c r="V61" s="643"/>
    </row>
    <row r="62" spans="1:22" s="618" customFormat="1" ht="20.100000000000001" customHeight="1" thickBot="1">
      <c r="A62" s="616"/>
      <c r="B62" s="657">
        <v>2</v>
      </c>
      <c r="C62" s="658" t="s">
        <v>405</v>
      </c>
      <c r="D62" s="659"/>
      <c r="E62" s="659"/>
      <c r="F62" s="660"/>
      <c r="G62" s="625">
        <f>G63+G72</f>
        <v>11154759.051174706</v>
      </c>
      <c r="H62" s="626"/>
      <c r="I62" s="625">
        <f>I63+I72</f>
        <v>60636.090870124302</v>
      </c>
      <c r="J62" s="625">
        <f>J63+J72</f>
        <v>25899.54489035995</v>
      </c>
      <c r="K62" s="625">
        <f>K63+K72</f>
        <v>143833.93934518541</v>
      </c>
      <c r="M62" s="657">
        <v>2</v>
      </c>
      <c r="N62" s="658" t="s">
        <v>405</v>
      </c>
      <c r="O62" s="659"/>
      <c r="P62" s="659"/>
      <c r="Q62" s="660"/>
      <c r="R62" s="625">
        <f>R63+R72</f>
        <v>11154759.051174706</v>
      </c>
      <c r="S62" s="626"/>
      <c r="T62" s="625">
        <f>T63+T72</f>
        <v>70732</v>
      </c>
      <c r="U62" s="625">
        <f>U63+U72</f>
        <v>31299.600000000002</v>
      </c>
      <c r="V62" s="625">
        <f>V63+V72</f>
        <v>178799.97</v>
      </c>
    </row>
    <row r="63" spans="1:22" s="618" customFormat="1" ht="20.100000000000001" customHeight="1" thickBot="1">
      <c r="A63" s="616"/>
      <c r="B63" s="699" t="s">
        <v>154</v>
      </c>
      <c r="C63" s="661" t="s">
        <v>155</v>
      </c>
      <c r="D63" s="659"/>
      <c r="E63" s="653"/>
      <c r="F63" s="660"/>
      <c r="G63" s="625">
        <f>SUM(G64:G70)</f>
        <v>480675.90338495118</v>
      </c>
      <c r="H63" s="632"/>
      <c r="I63" s="625">
        <f>I64+I66+I70</f>
        <v>22756.965280754393</v>
      </c>
      <c r="J63" s="625">
        <f>J64+J66+J70</f>
        <v>25327.596193628466</v>
      </c>
      <c r="K63" s="625">
        <f>K64+K66+K70</f>
        <v>27827.865819322658</v>
      </c>
      <c r="M63" s="699" t="s">
        <v>154</v>
      </c>
      <c r="N63" s="661" t="s">
        <v>155</v>
      </c>
      <c r="O63" s="659"/>
      <c r="P63" s="653"/>
      <c r="Q63" s="660"/>
      <c r="R63" s="625">
        <f>SUM(R64:R70)</f>
        <v>480675.90338495118</v>
      </c>
      <c r="S63" s="632"/>
      <c r="T63" s="625">
        <f>T64+T66+T70</f>
        <v>26546</v>
      </c>
      <c r="U63" s="625">
        <f t="shared" ref="U63:V63" si="28">U64+U66+U70</f>
        <v>30608.400000000001</v>
      </c>
      <c r="V63" s="625">
        <f t="shared" si="28"/>
        <v>34592.82</v>
      </c>
    </row>
    <row r="64" spans="1:22" s="618" customFormat="1" ht="20.100000000000001" customHeight="1">
      <c r="A64" s="616"/>
      <c r="B64" s="689"/>
      <c r="C64" s="645" t="s">
        <v>450</v>
      </c>
      <c r="D64" s="646">
        <v>166</v>
      </c>
      <c r="E64" s="647" t="s">
        <v>142</v>
      </c>
      <c r="F64" s="647">
        <v>200</v>
      </c>
      <c r="G64" s="648">
        <f>F64*D64</f>
        <v>33200</v>
      </c>
      <c r="H64" s="635"/>
      <c r="I64" s="649">
        <f>I65</f>
        <v>0</v>
      </c>
      <c r="J64" s="647">
        <f>J65</f>
        <v>9135.2916839056688</v>
      </c>
      <c r="K64" s="648">
        <f>K65</f>
        <v>13302.509854396265</v>
      </c>
      <c r="M64" s="689"/>
      <c r="N64" s="645" t="s">
        <v>450</v>
      </c>
      <c r="O64" s="646">
        <v>166</v>
      </c>
      <c r="P64" s="647" t="s">
        <v>142</v>
      </c>
      <c r="Q64" s="647">
        <v>200</v>
      </c>
      <c r="R64" s="648">
        <f>Q64*O64</f>
        <v>33200</v>
      </c>
      <c r="S64" s="635"/>
      <c r="T64" s="649">
        <f>T65</f>
        <v>0</v>
      </c>
      <c r="U64" s="647">
        <f>U65</f>
        <v>11040</v>
      </c>
      <c r="V64" s="648">
        <f>V65</f>
        <v>16536.349999999999</v>
      </c>
    </row>
    <row r="65" spans="1:22" s="618" customFormat="1">
      <c r="A65" s="616"/>
      <c r="B65" s="689"/>
      <c r="C65" s="690" t="s">
        <v>451</v>
      </c>
      <c r="D65" s="680"/>
      <c r="E65" s="681"/>
      <c r="F65" s="681"/>
      <c r="G65" s="682"/>
      <c r="H65" s="635"/>
      <c r="I65" s="683">
        <f>T65/I$4</f>
        <v>0</v>
      </c>
      <c r="J65" s="681">
        <f>U65/J$4</f>
        <v>9135.2916839056688</v>
      </c>
      <c r="K65" s="682">
        <f>V65/K$4</f>
        <v>13302.509854396265</v>
      </c>
      <c r="M65" s="689"/>
      <c r="N65" s="690" t="s">
        <v>451</v>
      </c>
      <c r="O65" s="680"/>
      <c r="P65" s="681"/>
      <c r="Q65" s="681"/>
      <c r="R65" s="682"/>
      <c r="S65" s="635"/>
      <c r="T65" s="683">
        <v>0</v>
      </c>
      <c r="U65" s="681">
        <v>11040</v>
      </c>
      <c r="V65" s="682">
        <v>16536.349999999999</v>
      </c>
    </row>
    <row r="66" spans="1:22" s="618" customFormat="1" ht="20.100000000000001" customHeight="1">
      <c r="A66" s="616"/>
      <c r="B66" s="689"/>
      <c r="C66" s="662" t="s">
        <v>452</v>
      </c>
      <c r="D66" s="634">
        <v>1822</v>
      </c>
      <c r="E66" s="612" t="s">
        <v>254</v>
      </c>
      <c r="F66" s="612">
        <v>102</v>
      </c>
      <c r="G66" s="613">
        <f>F66*D66</f>
        <v>185844</v>
      </c>
      <c r="H66" s="635"/>
      <c r="I66" s="611">
        <f>SUM(I67:I69)</f>
        <v>22756.965280754393</v>
      </c>
      <c r="J66" s="612">
        <f>SUM(J67:J69)</f>
        <v>16192.304509722799</v>
      </c>
      <c r="K66" s="613">
        <f>SUM(K67:K69)</f>
        <v>14525.355964926393</v>
      </c>
      <c r="M66" s="689"/>
      <c r="N66" s="662" t="s">
        <v>452</v>
      </c>
      <c r="O66" s="634">
        <v>1822</v>
      </c>
      <c r="P66" s="612" t="s">
        <v>254</v>
      </c>
      <c r="Q66" s="612">
        <v>102</v>
      </c>
      <c r="R66" s="613">
        <f>Q66*O66</f>
        <v>185844</v>
      </c>
      <c r="S66" s="635"/>
      <c r="T66" s="611">
        <f>SUM(T67:T69)</f>
        <v>26546</v>
      </c>
      <c r="U66" s="612">
        <f>SUM(U67:U69)</f>
        <v>19568.400000000001</v>
      </c>
      <c r="V66" s="613">
        <f>SUM(V67:V69)</f>
        <v>18056.47</v>
      </c>
    </row>
    <row r="67" spans="1:22" s="618" customFormat="1">
      <c r="A67" s="616"/>
      <c r="B67" s="689"/>
      <c r="C67" s="685" t="s">
        <v>452</v>
      </c>
      <c r="D67" s="680"/>
      <c r="E67" s="681"/>
      <c r="F67" s="681"/>
      <c r="G67" s="682"/>
      <c r="H67" s="715"/>
      <c r="I67" s="683">
        <f t="shared" ref="I67:K70" si="29">T67/I$4</f>
        <v>0</v>
      </c>
      <c r="J67" s="681">
        <f t="shared" si="29"/>
        <v>0</v>
      </c>
      <c r="K67" s="682">
        <f t="shared" si="29"/>
        <v>14525.355964926393</v>
      </c>
      <c r="M67" s="689"/>
      <c r="N67" s="685" t="s">
        <v>452</v>
      </c>
      <c r="O67" s="680"/>
      <c r="P67" s="681"/>
      <c r="Q67" s="681"/>
      <c r="R67" s="682"/>
      <c r="S67" s="715"/>
      <c r="T67" s="683"/>
      <c r="U67" s="681"/>
      <c r="V67" s="682">
        <v>18056.47</v>
      </c>
    </row>
    <row r="68" spans="1:22" s="618" customFormat="1" ht="24">
      <c r="A68" s="616"/>
      <c r="B68" s="689"/>
      <c r="C68" s="690" t="s">
        <v>453</v>
      </c>
      <c r="D68" s="680"/>
      <c r="E68" s="681"/>
      <c r="F68" s="681"/>
      <c r="G68" s="682"/>
      <c r="H68" s="635"/>
      <c r="I68" s="683">
        <f t="shared" si="29"/>
        <v>0</v>
      </c>
      <c r="J68" s="681">
        <f t="shared" si="29"/>
        <v>16192.304509722799</v>
      </c>
      <c r="K68" s="682">
        <f t="shared" si="29"/>
        <v>0</v>
      </c>
      <c r="M68" s="689"/>
      <c r="N68" s="690" t="s">
        <v>453</v>
      </c>
      <c r="O68" s="680"/>
      <c r="P68" s="681"/>
      <c r="Q68" s="681"/>
      <c r="R68" s="682"/>
      <c r="S68" s="635"/>
      <c r="T68" s="683">
        <v>0</v>
      </c>
      <c r="U68" s="681">
        <v>19568.400000000001</v>
      </c>
      <c r="V68" s="682">
        <v>0</v>
      </c>
    </row>
    <row r="69" spans="1:22" s="618" customFormat="1">
      <c r="A69" s="616"/>
      <c r="B69" s="689"/>
      <c r="C69" s="690" t="s">
        <v>454</v>
      </c>
      <c r="D69" s="680"/>
      <c r="E69" s="681"/>
      <c r="F69" s="681"/>
      <c r="G69" s="682"/>
      <c r="H69" s="635"/>
      <c r="I69" s="683">
        <f t="shared" si="29"/>
        <v>22756.965280754393</v>
      </c>
      <c r="J69" s="681">
        <f t="shared" si="29"/>
        <v>0</v>
      </c>
      <c r="K69" s="682">
        <f t="shared" si="29"/>
        <v>0</v>
      </c>
      <c r="M69" s="689"/>
      <c r="N69" s="690" t="s">
        <v>454</v>
      </c>
      <c r="O69" s="680"/>
      <c r="P69" s="681"/>
      <c r="Q69" s="681"/>
      <c r="R69" s="682"/>
      <c r="S69" s="635"/>
      <c r="T69" s="683">
        <v>26546</v>
      </c>
      <c r="U69" s="681">
        <v>0</v>
      </c>
      <c r="V69" s="682">
        <v>0</v>
      </c>
    </row>
    <row r="70" spans="1:22" s="618" customFormat="1" ht="30" customHeight="1" thickBot="1">
      <c r="A70" s="616"/>
      <c r="B70" s="704"/>
      <c r="C70" s="650" t="s">
        <v>455</v>
      </c>
      <c r="D70" s="636">
        <v>1</v>
      </c>
      <c r="E70" s="637" t="s">
        <v>142</v>
      </c>
      <c r="F70" s="637">
        <v>261631.90338495115</v>
      </c>
      <c r="G70" s="638">
        <f>F70*D70</f>
        <v>261631.90338495115</v>
      </c>
      <c r="H70" s="635"/>
      <c r="I70" s="655">
        <f t="shared" si="29"/>
        <v>0</v>
      </c>
      <c r="J70" s="637">
        <f t="shared" si="29"/>
        <v>0</v>
      </c>
      <c r="K70" s="638">
        <f t="shared" si="29"/>
        <v>0</v>
      </c>
      <c r="M70" s="704"/>
      <c r="N70" s="650" t="s">
        <v>455</v>
      </c>
      <c r="O70" s="636">
        <v>1</v>
      </c>
      <c r="P70" s="637" t="s">
        <v>142</v>
      </c>
      <c r="Q70" s="637">
        <v>261631.90338495115</v>
      </c>
      <c r="R70" s="638">
        <f>Q70*O70</f>
        <v>261631.90338495115</v>
      </c>
      <c r="S70" s="635"/>
      <c r="T70" s="655">
        <v>0</v>
      </c>
      <c r="U70" s="637">
        <v>0</v>
      </c>
      <c r="V70" s="638">
        <v>0</v>
      </c>
    </row>
    <row r="71" spans="1:22" s="618" customFormat="1" ht="20.100000000000001" customHeight="1" thickBot="1">
      <c r="A71" s="616"/>
      <c r="B71" s="617"/>
      <c r="C71" s="617"/>
      <c r="D71" s="617"/>
      <c r="E71" s="642"/>
      <c r="F71" s="642"/>
      <c r="G71" s="642"/>
      <c r="H71" s="617"/>
      <c r="I71" s="643"/>
      <c r="J71" s="643"/>
      <c r="K71" s="643"/>
      <c r="M71" s="617"/>
      <c r="N71" s="617"/>
      <c r="O71" s="617"/>
      <c r="P71" s="642"/>
      <c r="Q71" s="642"/>
      <c r="R71" s="642"/>
      <c r="S71" s="617"/>
      <c r="T71" s="643"/>
      <c r="U71" s="643"/>
      <c r="V71" s="643"/>
    </row>
    <row r="72" spans="1:22" s="618" customFormat="1" ht="20.100000000000001" customHeight="1" thickBot="1">
      <c r="A72" s="616"/>
      <c r="B72" s="724" t="s">
        <v>156</v>
      </c>
      <c r="C72" s="663" t="s">
        <v>157</v>
      </c>
      <c r="D72" s="664"/>
      <c r="E72" s="665"/>
      <c r="F72" s="666"/>
      <c r="G72" s="631">
        <f>SUM(G73:G78)</f>
        <v>10674083.147789754</v>
      </c>
      <c r="H72" s="725"/>
      <c r="I72" s="631">
        <f>I73+I74+I75+I76+I77+I78</f>
        <v>37879.125589369905</v>
      </c>
      <c r="J72" s="631">
        <f>J73+J74+J75+J76+J77+J78</f>
        <v>571.94869673148537</v>
      </c>
      <c r="K72" s="631">
        <f>K73+K74+K75+K76+K77+K78</f>
        <v>116006.07352586275</v>
      </c>
      <c r="M72" s="724" t="s">
        <v>156</v>
      </c>
      <c r="N72" s="663" t="s">
        <v>157</v>
      </c>
      <c r="O72" s="664"/>
      <c r="P72" s="665"/>
      <c r="Q72" s="666"/>
      <c r="R72" s="631">
        <f>SUM(R73:R78)</f>
        <v>10674083.147789754</v>
      </c>
      <c r="S72" s="725"/>
      <c r="T72" s="631">
        <f>T73+T74+T75+T76+T77+T78</f>
        <v>44186</v>
      </c>
      <c r="U72" s="631">
        <f t="shared" ref="U72:V72" si="30">U73+U74+U75+U76+U77+U78</f>
        <v>691.2</v>
      </c>
      <c r="V72" s="631">
        <f t="shared" si="30"/>
        <v>144207.15</v>
      </c>
    </row>
    <row r="73" spans="1:22" s="618" customFormat="1" ht="20.100000000000001" customHeight="1">
      <c r="A73" s="616"/>
      <c r="B73" s="709"/>
      <c r="C73" s="645" t="s">
        <v>456</v>
      </c>
      <c r="D73" s="646">
        <v>1987</v>
      </c>
      <c r="E73" s="647" t="s">
        <v>142</v>
      </c>
      <c r="F73" s="647">
        <v>204</v>
      </c>
      <c r="G73" s="648">
        <f>F73*D73</f>
        <v>405348</v>
      </c>
      <c r="H73" s="635"/>
      <c r="I73" s="649">
        <f t="shared" ref="I73:K78" si="31">T73/I$4</f>
        <v>0</v>
      </c>
      <c r="J73" s="647">
        <f t="shared" si="31"/>
        <v>0</v>
      </c>
      <c r="K73" s="648">
        <f t="shared" si="31"/>
        <v>0</v>
      </c>
      <c r="M73" s="709"/>
      <c r="N73" s="645" t="s">
        <v>456</v>
      </c>
      <c r="O73" s="646">
        <v>1987</v>
      </c>
      <c r="P73" s="647" t="s">
        <v>142</v>
      </c>
      <c r="Q73" s="647">
        <v>204</v>
      </c>
      <c r="R73" s="648">
        <f>Q73*O73</f>
        <v>405348</v>
      </c>
      <c r="S73" s="635"/>
      <c r="T73" s="649">
        <v>0</v>
      </c>
      <c r="U73" s="647">
        <v>0</v>
      </c>
      <c r="V73" s="648">
        <v>0</v>
      </c>
    </row>
    <row r="74" spans="1:22" s="618" customFormat="1" ht="30" customHeight="1">
      <c r="A74" s="616"/>
      <c r="B74" s="684"/>
      <c r="C74" s="654" t="s">
        <v>457</v>
      </c>
      <c r="D74" s="634">
        <v>8189</v>
      </c>
      <c r="E74" s="612" t="s">
        <v>254</v>
      </c>
      <c r="F74" s="612">
        <v>305</v>
      </c>
      <c r="G74" s="613">
        <f>F74*D74</f>
        <v>2497645</v>
      </c>
      <c r="H74" s="667"/>
      <c r="I74" s="611">
        <f t="shared" si="31"/>
        <v>37879.125589369905</v>
      </c>
      <c r="J74" s="612">
        <f t="shared" si="31"/>
        <v>571.94869673148537</v>
      </c>
      <c r="K74" s="613">
        <f t="shared" si="31"/>
        <v>9420.8028316306008</v>
      </c>
      <c r="M74" s="684"/>
      <c r="N74" s="654" t="s">
        <v>457</v>
      </c>
      <c r="O74" s="634">
        <v>8189</v>
      </c>
      <c r="P74" s="612" t="s">
        <v>254</v>
      </c>
      <c r="Q74" s="612">
        <v>305</v>
      </c>
      <c r="R74" s="613">
        <f>Q74*O74</f>
        <v>2497645</v>
      </c>
      <c r="S74" s="667"/>
      <c r="T74" s="611">
        <v>44186</v>
      </c>
      <c r="U74" s="612">
        <v>691.2</v>
      </c>
      <c r="V74" s="613">
        <v>11711</v>
      </c>
    </row>
    <row r="75" spans="1:22" s="618" customFormat="1" ht="20.100000000000001" customHeight="1">
      <c r="A75" s="616"/>
      <c r="B75" s="684"/>
      <c r="C75" s="654" t="s">
        <v>406</v>
      </c>
      <c r="D75" s="634">
        <v>3500</v>
      </c>
      <c r="E75" s="612" t="s">
        <v>254</v>
      </c>
      <c r="F75" s="612">
        <v>357.69986790911287</v>
      </c>
      <c r="G75" s="613">
        <f t="shared" ref="G75:G77" si="32">F75*D75</f>
        <v>1251949.5376818951</v>
      </c>
      <c r="H75" s="667"/>
      <c r="I75" s="611">
        <f t="shared" si="31"/>
        <v>0</v>
      </c>
      <c r="J75" s="612">
        <f t="shared" si="31"/>
        <v>0</v>
      </c>
      <c r="K75" s="613">
        <f t="shared" si="31"/>
        <v>106585.27069423215</v>
      </c>
      <c r="L75" s="668"/>
      <c r="M75" s="684"/>
      <c r="N75" s="654" t="s">
        <v>406</v>
      </c>
      <c r="O75" s="634">
        <v>3500</v>
      </c>
      <c r="P75" s="612" t="s">
        <v>254</v>
      </c>
      <c r="Q75" s="612">
        <v>357.69986790911287</v>
      </c>
      <c r="R75" s="613">
        <f t="shared" ref="R75:R77" si="33">Q75*O75</f>
        <v>1251949.5376818951</v>
      </c>
      <c r="S75" s="667"/>
      <c r="T75" s="611">
        <v>0</v>
      </c>
      <c r="U75" s="612">
        <v>0</v>
      </c>
      <c r="V75" s="613">
        <v>132496.15</v>
      </c>
    </row>
    <row r="76" spans="1:22" s="618" customFormat="1" ht="39.950000000000003" customHeight="1">
      <c r="A76" s="616"/>
      <c r="B76" s="684"/>
      <c r="C76" s="654" t="s">
        <v>458</v>
      </c>
      <c r="D76" s="634">
        <v>1</v>
      </c>
      <c r="E76" s="612" t="s">
        <v>249</v>
      </c>
      <c r="F76" s="612">
        <v>1353127.5003190441</v>
      </c>
      <c r="G76" s="613">
        <f t="shared" si="32"/>
        <v>1353127.5003190441</v>
      </c>
      <c r="H76" s="667"/>
      <c r="I76" s="611">
        <f t="shared" si="31"/>
        <v>0</v>
      </c>
      <c r="J76" s="726">
        <f t="shared" si="31"/>
        <v>0</v>
      </c>
      <c r="K76" s="613">
        <f t="shared" si="31"/>
        <v>0</v>
      </c>
      <c r="M76" s="684"/>
      <c r="N76" s="654" t="s">
        <v>458</v>
      </c>
      <c r="O76" s="634">
        <v>1</v>
      </c>
      <c r="P76" s="612" t="s">
        <v>249</v>
      </c>
      <c r="Q76" s="612">
        <v>1353127.5003190441</v>
      </c>
      <c r="R76" s="613">
        <f t="shared" si="33"/>
        <v>1353127.5003190441</v>
      </c>
      <c r="S76" s="667"/>
      <c r="T76" s="611">
        <v>0</v>
      </c>
      <c r="U76" s="726">
        <v>0</v>
      </c>
      <c r="V76" s="613">
        <v>0</v>
      </c>
    </row>
    <row r="77" spans="1:22" s="618" customFormat="1" ht="30" customHeight="1">
      <c r="A77" s="616"/>
      <c r="B77" s="684"/>
      <c r="C77" s="654" t="s">
        <v>407</v>
      </c>
      <c r="D77" s="634">
        <v>1</v>
      </c>
      <c r="E77" s="612" t="s">
        <v>249</v>
      </c>
      <c r="F77" s="612">
        <v>3366998.7545716399</v>
      </c>
      <c r="G77" s="613">
        <f t="shared" si="32"/>
        <v>3366998.7545716399</v>
      </c>
      <c r="H77" s="667"/>
      <c r="I77" s="611">
        <f t="shared" si="31"/>
        <v>0</v>
      </c>
      <c r="J77" s="669">
        <f t="shared" si="31"/>
        <v>0</v>
      </c>
      <c r="K77" s="613">
        <f t="shared" si="31"/>
        <v>0</v>
      </c>
      <c r="M77" s="684"/>
      <c r="N77" s="654" t="s">
        <v>407</v>
      </c>
      <c r="O77" s="634">
        <v>1</v>
      </c>
      <c r="P77" s="612" t="s">
        <v>249</v>
      </c>
      <c r="Q77" s="612">
        <v>3366998.7545716399</v>
      </c>
      <c r="R77" s="613">
        <f t="shared" si="33"/>
        <v>3366998.7545716399</v>
      </c>
      <c r="S77" s="667"/>
      <c r="T77" s="611">
        <v>0</v>
      </c>
      <c r="U77" s="669">
        <v>0</v>
      </c>
      <c r="V77" s="613">
        <v>0</v>
      </c>
    </row>
    <row r="78" spans="1:22" s="618" customFormat="1" ht="30" customHeight="1" thickBot="1">
      <c r="A78" s="616"/>
      <c r="B78" s="704"/>
      <c r="C78" s="650" t="s">
        <v>459</v>
      </c>
      <c r="D78" s="636">
        <v>6</v>
      </c>
      <c r="E78" s="637" t="s">
        <v>142</v>
      </c>
      <c r="F78" s="637">
        <v>299835.72586952901</v>
      </c>
      <c r="G78" s="638">
        <f>F78*D78</f>
        <v>1799014.3552171742</v>
      </c>
      <c r="H78" s="667"/>
      <c r="I78" s="655">
        <f t="shared" si="31"/>
        <v>0</v>
      </c>
      <c r="J78" s="637">
        <f t="shared" si="31"/>
        <v>0</v>
      </c>
      <c r="K78" s="638">
        <f t="shared" si="31"/>
        <v>0</v>
      </c>
      <c r="M78" s="704"/>
      <c r="N78" s="650" t="s">
        <v>459</v>
      </c>
      <c r="O78" s="636">
        <v>6</v>
      </c>
      <c r="P78" s="637" t="s">
        <v>142</v>
      </c>
      <c r="Q78" s="637">
        <v>299835.72586952901</v>
      </c>
      <c r="R78" s="638">
        <f>Q78*O78</f>
        <v>1799014.3552171742</v>
      </c>
      <c r="S78" s="667"/>
      <c r="T78" s="655">
        <v>0</v>
      </c>
      <c r="U78" s="637">
        <v>0</v>
      </c>
      <c r="V78" s="638">
        <v>0</v>
      </c>
    </row>
    <row r="79" spans="1:22" s="618" customFormat="1" ht="20.100000000000001" customHeight="1" thickBot="1">
      <c r="A79" s="616"/>
      <c r="B79" s="617"/>
      <c r="C79" s="651"/>
      <c r="D79" s="652"/>
      <c r="E79" s="642"/>
      <c r="F79" s="642"/>
      <c r="G79" s="642"/>
      <c r="H79" s="635"/>
      <c r="I79" s="643"/>
      <c r="J79" s="643"/>
      <c r="K79" s="643"/>
      <c r="M79" s="617"/>
      <c r="N79" s="651"/>
      <c r="O79" s="652"/>
      <c r="P79" s="642"/>
      <c r="Q79" s="642"/>
      <c r="R79" s="642"/>
      <c r="S79" s="635"/>
      <c r="T79" s="643"/>
      <c r="U79" s="643"/>
      <c r="V79" s="643"/>
    </row>
    <row r="80" spans="1:22" s="618" customFormat="1" ht="20.100000000000001" customHeight="1" thickBot="1">
      <c r="A80" s="616"/>
      <c r="B80" s="657">
        <v>3</v>
      </c>
      <c r="C80" s="658" t="s">
        <v>408</v>
      </c>
      <c r="D80" s="659"/>
      <c r="E80" s="659"/>
      <c r="F80" s="660"/>
      <c r="G80" s="625">
        <f>G81</f>
        <v>471541.57864446042</v>
      </c>
      <c r="H80" s="626"/>
      <c r="I80" s="625">
        <f>I81</f>
        <v>87023.583369052707</v>
      </c>
      <c r="J80" s="625">
        <f>J81</f>
        <v>43673.537443111301</v>
      </c>
      <c r="K80" s="625">
        <f>K81</f>
        <v>85663.1968465932</v>
      </c>
      <c r="M80" s="657">
        <v>3</v>
      </c>
      <c r="N80" s="658" t="s">
        <v>408</v>
      </c>
      <c r="O80" s="659"/>
      <c r="P80" s="659"/>
      <c r="Q80" s="660"/>
      <c r="R80" s="625">
        <f>R81</f>
        <v>471541.57864446042</v>
      </c>
      <c r="S80" s="626"/>
      <c r="T80" s="625">
        <f>T81</f>
        <v>101513.01</v>
      </c>
      <c r="U80" s="625">
        <f>U81</f>
        <v>52779.47</v>
      </c>
      <c r="V80" s="625">
        <f>V81</f>
        <v>106487.92</v>
      </c>
    </row>
    <row r="81" spans="1:22" s="618" customFormat="1" ht="20.100000000000001" customHeight="1" thickBot="1">
      <c r="A81" s="616"/>
      <c r="B81" s="699" t="s">
        <v>158</v>
      </c>
      <c r="C81" s="670" t="s">
        <v>159</v>
      </c>
      <c r="D81" s="659"/>
      <c r="E81" s="653"/>
      <c r="F81" s="653"/>
      <c r="G81" s="625">
        <f>SUM(G82:G83)</f>
        <v>471541.57864446042</v>
      </c>
      <c r="H81" s="632"/>
      <c r="I81" s="671">
        <f>I82+I83</f>
        <v>87023.583369052707</v>
      </c>
      <c r="J81" s="671">
        <f>J82+J83</f>
        <v>43673.537443111301</v>
      </c>
      <c r="K81" s="671">
        <f>K82+K83</f>
        <v>85663.1968465932</v>
      </c>
      <c r="M81" s="699" t="s">
        <v>158</v>
      </c>
      <c r="N81" s="670" t="s">
        <v>159</v>
      </c>
      <c r="O81" s="659"/>
      <c r="P81" s="653"/>
      <c r="Q81" s="653"/>
      <c r="R81" s="625">
        <f>SUM(R82:R83)</f>
        <v>471541.57864446042</v>
      </c>
      <c r="S81" s="632"/>
      <c r="T81" s="671">
        <f>T82+T83</f>
        <v>101513.01</v>
      </c>
      <c r="U81" s="671">
        <f t="shared" ref="U81:V81" si="34">U82+U83</f>
        <v>52779.47</v>
      </c>
      <c r="V81" s="671">
        <f t="shared" si="34"/>
        <v>106487.92</v>
      </c>
    </row>
    <row r="82" spans="1:22" s="618" customFormat="1" ht="19.5" customHeight="1">
      <c r="A82" s="616"/>
      <c r="B82" s="684"/>
      <c r="C82" s="645" t="s">
        <v>270</v>
      </c>
      <c r="D82" s="646">
        <v>6200</v>
      </c>
      <c r="E82" s="647" t="s">
        <v>142</v>
      </c>
      <c r="F82" s="647">
        <v>60.954164350464545</v>
      </c>
      <c r="G82" s="648">
        <f>F82*D82</f>
        <v>377915.8189728802</v>
      </c>
      <c r="H82" s="635"/>
      <c r="I82" s="649">
        <f t="shared" ref="I82:K83" si="35">T82/I$4</f>
        <v>87023.583369052707</v>
      </c>
      <c r="J82" s="647">
        <f t="shared" si="35"/>
        <v>43673.537443111301</v>
      </c>
      <c r="K82" s="648">
        <f t="shared" si="35"/>
        <v>73179.728099107073</v>
      </c>
      <c r="M82" s="684"/>
      <c r="N82" s="645" t="s">
        <v>270</v>
      </c>
      <c r="O82" s="646">
        <v>6200</v>
      </c>
      <c r="P82" s="647" t="s">
        <v>142</v>
      </c>
      <c r="Q82" s="647">
        <v>60.954164350464545</v>
      </c>
      <c r="R82" s="648">
        <f>Q82*O82</f>
        <v>377915.8189728802</v>
      </c>
      <c r="S82" s="635"/>
      <c r="T82" s="649">
        <v>101513.01</v>
      </c>
      <c r="U82" s="647">
        <v>52779.47</v>
      </c>
      <c r="V82" s="648">
        <v>90969.72</v>
      </c>
    </row>
    <row r="83" spans="1:22" s="618" customFormat="1" ht="19.5" customHeight="1" thickBot="1">
      <c r="A83" s="616"/>
      <c r="B83" s="704"/>
      <c r="C83" s="650" t="s">
        <v>255</v>
      </c>
      <c r="D83" s="636">
        <v>920</v>
      </c>
      <c r="E83" s="637" t="s">
        <v>254</v>
      </c>
      <c r="F83" s="637">
        <v>101.76713007780455</v>
      </c>
      <c r="G83" s="638">
        <f>F83*D83</f>
        <v>93625.759671580192</v>
      </c>
      <c r="H83" s="635"/>
      <c r="I83" s="655">
        <f t="shared" si="35"/>
        <v>0</v>
      </c>
      <c r="J83" s="637">
        <f t="shared" si="35"/>
        <v>0</v>
      </c>
      <c r="K83" s="638">
        <f t="shared" si="35"/>
        <v>12483.468747486124</v>
      </c>
      <c r="L83" s="668"/>
      <c r="M83" s="704"/>
      <c r="N83" s="650" t="s">
        <v>255</v>
      </c>
      <c r="O83" s="636">
        <v>920</v>
      </c>
      <c r="P83" s="637" t="s">
        <v>254</v>
      </c>
      <c r="Q83" s="637">
        <v>101.76713007780455</v>
      </c>
      <c r="R83" s="638">
        <f>Q83*O83</f>
        <v>93625.759671580192</v>
      </c>
      <c r="S83" s="635"/>
      <c r="T83" s="655">
        <v>0</v>
      </c>
      <c r="U83" s="637">
        <v>0</v>
      </c>
      <c r="V83" s="638">
        <v>15518.2</v>
      </c>
    </row>
    <row r="84" spans="1:22" s="618" customFormat="1" ht="20.100000000000001" customHeight="1" thickBot="1">
      <c r="A84" s="616"/>
      <c r="B84" s="617"/>
      <c r="C84" s="617"/>
      <c r="D84" s="617"/>
      <c r="E84" s="617"/>
      <c r="F84" s="642"/>
      <c r="G84" s="642"/>
      <c r="H84" s="727"/>
      <c r="I84" s="728"/>
      <c r="J84" s="728"/>
      <c r="K84" s="728"/>
      <c r="M84" s="617"/>
      <c r="N84" s="617"/>
      <c r="O84" s="617"/>
      <c r="P84" s="617"/>
      <c r="Q84" s="642"/>
      <c r="R84" s="642"/>
      <c r="S84" s="727"/>
      <c r="T84" s="728"/>
      <c r="U84" s="728">
        <f>U85-417704.93</f>
        <v>0</v>
      </c>
      <c r="V84" s="728">
        <f>V85-508331.91</f>
        <v>0</v>
      </c>
    </row>
    <row r="85" spans="1:22" s="618" customFormat="1" ht="20.100000000000001" customHeight="1" thickBot="1">
      <c r="A85" s="616"/>
      <c r="B85" s="729"/>
      <c r="C85" s="659" t="s">
        <v>166</v>
      </c>
      <c r="D85" s="672"/>
      <c r="E85" s="672"/>
      <c r="F85" s="673"/>
      <c r="G85" s="625" t="e">
        <f>#REF!+#REF!+#REF!</f>
        <v>#REF!</v>
      </c>
      <c r="H85" s="626"/>
      <c r="I85" s="625">
        <f>I7+I62+I80</f>
        <v>563316.99957136728</v>
      </c>
      <c r="J85" s="625">
        <f>J7+J62+J80</f>
        <v>345639.16425320652</v>
      </c>
      <c r="K85" s="625">
        <f>K7+K62+K80</f>
        <v>408922.78175528918</v>
      </c>
      <c r="M85" s="729"/>
      <c r="N85" s="659" t="s">
        <v>166</v>
      </c>
      <c r="O85" s="672"/>
      <c r="P85" s="672"/>
      <c r="Q85" s="673"/>
      <c r="R85" s="625" t="e">
        <f>#REF!+#REF!+#REF!</f>
        <v>#REF!</v>
      </c>
      <c r="S85" s="626"/>
      <c r="T85" s="625">
        <f>T7+T62+T80</f>
        <v>657109.27999999991</v>
      </c>
      <c r="U85" s="625">
        <f>U7+U62+U80</f>
        <v>417704.93000000005</v>
      </c>
      <c r="V85" s="625">
        <f>V7+V62+V80</f>
        <v>508331.91</v>
      </c>
    </row>
    <row r="86" spans="1:22" s="618" customFormat="1" ht="20.100000000000001" customHeight="1" thickBot="1">
      <c r="A86" s="616"/>
      <c r="B86" s="617"/>
      <c r="C86" s="617"/>
      <c r="D86" s="617"/>
      <c r="E86" s="617"/>
      <c r="F86" s="617"/>
      <c r="G86" s="617"/>
      <c r="H86" s="617"/>
      <c r="I86" s="642"/>
      <c r="J86" s="730" t="s">
        <v>409</v>
      </c>
      <c r="K86" s="625">
        <f>SUM(I85:K85)</f>
        <v>1317878.9455798632</v>
      </c>
      <c r="M86" s="617"/>
      <c r="N86" s="617"/>
      <c r="O86" s="617"/>
      <c r="P86" s="617"/>
      <c r="Q86" s="617"/>
      <c r="R86" s="617"/>
      <c r="S86" s="617"/>
      <c r="T86" s="642"/>
      <c r="U86" s="730" t="s">
        <v>409</v>
      </c>
      <c r="V86" s="625">
        <f>SUM(T85:V85)</f>
        <v>1583146.1199999999</v>
      </c>
    </row>
    <row r="87" spans="1:22" s="618" customFormat="1">
      <c r="A87" s="616"/>
      <c r="B87" s="616"/>
      <c r="C87" s="616"/>
      <c r="D87" s="616"/>
      <c r="E87" s="616"/>
      <c r="F87" s="616"/>
      <c r="G87" s="616"/>
      <c r="H87" s="616"/>
      <c r="I87" s="1327"/>
      <c r="J87" s="1327"/>
      <c r="K87" s="1327"/>
      <c r="M87" s="616"/>
      <c r="N87" s="616"/>
      <c r="O87" s="616"/>
      <c r="P87" s="616"/>
      <c r="Q87" s="616"/>
      <c r="R87" s="616"/>
      <c r="S87" s="616"/>
      <c r="T87" s="1327"/>
      <c r="U87" s="1327"/>
      <c r="V87" s="1327"/>
    </row>
    <row r="88" spans="1:22">
      <c r="K88" s="731"/>
      <c r="V88" s="731"/>
    </row>
  </sheetData>
  <mergeCells count="10">
    <mergeCell ref="D5:G5"/>
    <mergeCell ref="I5:K5"/>
    <mergeCell ref="C7:F7"/>
    <mergeCell ref="I87:K87"/>
    <mergeCell ref="M2:V2"/>
    <mergeCell ref="O5:R5"/>
    <mergeCell ref="T5:V5"/>
    <mergeCell ref="N7:Q7"/>
    <mergeCell ref="T87:V87"/>
    <mergeCell ref="B2:K2"/>
  </mergeCells>
  <pageMargins left="0.511811024" right="0.511811024" top="0.78740157499999996" bottom="0.78740157499999996" header="0.31496062000000002" footer="0.31496062000000002"/>
  <ignoredErrors>
    <ignoredError sqref="I10 I23 I32 I34 I41 I50 I66" formula="1"/>
  </ignoredError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54">
    <tabColor rgb="FF7030A0"/>
  </sheetPr>
  <dimension ref="B1:N39"/>
  <sheetViews>
    <sheetView workbookViewId="0">
      <selection activeCell="B20" sqref="B20"/>
    </sheetView>
  </sheetViews>
  <sheetFormatPr defaultColWidth="9.140625" defaultRowHeight="12.75"/>
  <cols>
    <col min="1" max="1" width="2.7109375" style="229" customWidth="1"/>
    <col min="2" max="2" width="20.7109375" style="867" customWidth="1"/>
    <col min="3" max="12" width="13.7109375" style="229" customWidth="1"/>
    <col min="13" max="13" width="2.7109375" style="229" customWidth="1"/>
    <col min="14" max="16384" width="9.140625" style="229"/>
  </cols>
  <sheetData>
    <row r="1" spans="2:12">
      <c r="B1" s="812"/>
    </row>
    <row r="2" spans="2:12">
      <c r="B2" s="812"/>
    </row>
    <row r="3" spans="2:12" ht="15">
      <c r="B3" s="1329" t="s">
        <v>465</v>
      </c>
      <c r="C3" s="1329"/>
      <c r="D3" s="1329"/>
      <c r="E3" s="1329"/>
      <c r="F3" s="1329"/>
      <c r="H3" s="869">
        <v>1.2431000000000001</v>
      </c>
    </row>
    <row r="4" spans="2:12" ht="30">
      <c r="B4" s="1330" t="s">
        <v>466</v>
      </c>
      <c r="C4" s="1331"/>
      <c r="D4" s="813" t="s">
        <v>467</v>
      </c>
      <c r="E4" s="813" t="s">
        <v>468</v>
      </c>
      <c r="F4" s="813" t="s">
        <v>469</v>
      </c>
      <c r="G4" s="814" t="s">
        <v>470</v>
      </c>
      <c r="H4" s="814" t="s">
        <v>503</v>
      </c>
    </row>
    <row r="5" spans="2:12" ht="15">
      <c r="B5" s="1332" t="s">
        <v>471</v>
      </c>
      <c r="C5" s="1333"/>
      <c r="D5" s="815" t="s">
        <v>472</v>
      </c>
      <c r="E5" s="816">
        <v>1</v>
      </c>
      <c r="F5" s="817">
        <v>994092.48</v>
      </c>
      <c r="G5" s="818">
        <v>994092.48</v>
      </c>
      <c r="H5" s="868">
        <f>G5/H3</f>
        <v>799688.2632129353</v>
      </c>
    </row>
    <row r="6" spans="2:12" ht="15">
      <c r="B6" s="1334" t="s">
        <v>473</v>
      </c>
      <c r="C6" s="1335"/>
      <c r="D6" s="819" t="s">
        <v>474</v>
      </c>
      <c r="E6" s="820">
        <f>'6 Inv Agua'!C7</f>
        <v>4083</v>
      </c>
      <c r="F6" s="821"/>
      <c r="G6" s="822"/>
      <c r="H6" s="823"/>
    </row>
    <row r="7" spans="2:12" ht="15">
      <c r="B7" s="1336" t="s">
        <v>475</v>
      </c>
      <c r="C7" s="1337"/>
      <c r="D7" s="824" t="s">
        <v>474</v>
      </c>
      <c r="E7" s="825">
        <v>4640</v>
      </c>
      <c r="F7" s="826"/>
      <c r="G7" s="827"/>
      <c r="H7" s="828"/>
    </row>
    <row r="8" spans="2:12">
      <c r="B8" s="812"/>
    </row>
    <row r="9" spans="2:12">
      <c r="B9" s="812"/>
    </row>
    <row r="10" spans="2:12" s="773" customFormat="1" ht="18.75">
      <c r="B10" s="829" t="s">
        <v>476</v>
      </c>
      <c r="C10" s="830"/>
      <c r="D10" s="830"/>
      <c r="E10" s="830"/>
      <c r="F10" s="830"/>
      <c r="G10" s="830"/>
      <c r="H10" s="830"/>
      <c r="I10" s="830"/>
      <c r="J10" s="830"/>
      <c r="K10" s="830"/>
      <c r="L10" s="830"/>
    </row>
    <row r="11" spans="2:12" ht="15">
      <c r="B11" s="831" t="s">
        <v>477</v>
      </c>
      <c r="C11" s="832" t="s">
        <v>478</v>
      </c>
      <c r="D11" s="833">
        <v>2019</v>
      </c>
      <c r="E11" s="833">
        <v>2020</v>
      </c>
      <c r="F11" s="833">
        <v>2021</v>
      </c>
      <c r="G11" s="833">
        <v>2022</v>
      </c>
      <c r="H11" s="833">
        <v>2023</v>
      </c>
      <c r="I11" s="833">
        <v>2024</v>
      </c>
      <c r="J11" s="833">
        <v>2025</v>
      </c>
      <c r="K11" s="833">
        <v>2026</v>
      </c>
      <c r="L11" s="834">
        <v>2027</v>
      </c>
    </row>
    <row r="12" spans="2:12" s="235" customFormat="1" ht="15">
      <c r="B12" s="835" t="s">
        <v>479</v>
      </c>
      <c r="C12" s="836">
        <f>SUM(D12:L12)</f>
        <v>75</v>
      </c>
      <c r="D12" s="837">
        <v>75</v>
      </c>
      <c r="E12" s="838"/>
      <c r="F12" s="838"/>
      <c r="G12" s="838"/>
      <c r="H12" s="838"/>
      <c r="I12" s="838"/>
      <c r="J12" s="838"/>
      <c r="K12" s="838"/>
      <c r="L12" s="839"/>
    </row>
    <row r="13" spans="2:12" s="235" customFormat="1" ht="15">
      <c r="B13" s="840" t="s">
        <v>480</v>
      </c>
      <c r="C13" s="841">
        <f t="shared" ref="C13:C23" si="0">SUM(D13:L13)</f>
        <v>773.12</v>
      </c>
      <c r="D13" s="842">
        <v>773.12</v>
      </c>
      <c r="E13" s="843"/>
      <c r="F13" s="843"/>
      <c r="G13" s="843"/>
      <c r="H13" s="843"/>
      <c r="I13" s="843"/>
      <c r="J13" s="843"/>
      <c r="K13" s="843"/>
      <c r="L13" s="844"/>
    </row>
    <row r="14" spans="2:12" s="235" customFormat="1" ht="15">
      <c r="B14" s="840" t="s">
        <v>481</v>
      </c>
      <c r="C14" s="841">
        <f t="shared" si="0"/>
        <v>606</v>
      </c>
      <c r="D14" s="843"/>
      <c r="E14" s="842">
        <v>606</v>
      </c>
      <c r="F14" s="843"/>
      <c r="G14" s="843"/>
      <c r="H14" s="843"/>
      <c r="I14" s="843"/>
      <c r="J14" s="843"/>
      <c r="K14" s="843"/>
      <c r="L14" s="844"/>
    </row>
    <row r="15" spans="2:12" s="235" customFormat="1" ht="15">
      <c r="B15" s="840" t="s">
        <v>482</v>
      </c>
      <c r="C15" s="841">
        <f t="shared" si="0"/>
        <v>253</v>
      </c>
      <c r="D15" s="843"/>
      <c r="E15" s="842">
        <v>253</v>
      </c>
      <c r="F15" s="843"/>
      <c r="G15" s="843"/>
      <c r="H15" s="843"/>
      <c r="I15" s="843"/>
      <c r="J15" s="843"/>
      <c r="K15" s="843"/>
      <c r="L15" s="844"/>
    </row>
    <row r="16" spans="2:12" s="235" customFormat="1" ht="15">
      <c r="B16" s="840" t="s">
        <v>483</v>
      </c>
      <c r="C16" s="841">
        <f t="shared" si="0"/>
        <v>837</v>
      </c>
      <c r="D16" s="843"/>
      <c r="E16" s="842">
        <v>837</v>
      </c>
      <c r="F16" s="843"/>
      <c r="G16" s="843"/>
      <c r="H16" s="843"/>
      <c r="I16" s="843"/>
      <c r="J16" s="843"/>
      <c r="K16" s="843"/>
      <c r="L16" s="844"/>
    </row>
    <row r="17" spans="2:12" s="235" customFormat="1" ht="15">
      <c r="B17" s="840" t="s">
        <v>484</v>
      </c>
      <c r="C17" s="841">
        <f t="shared" si="0"/>
        <v>1154</v>
      </c>
      <c r="D17" s="843"/>
      <c r="E17" s="843"/>
      <c r="F17" s="842">
        <v>1154</v>
      </c>
      <c r="G17" s="843"/>
      <c r="H17" s="843"/>
      <c r="I17" s="843"/>
      <c r="J17" s="843"/>
      <c r="K17" s="843"/>
      <c r="L17" s="844"/>
    </row>
    <row r="18" spans="2:12" s="235" customFormat="1" ht="15">
      <c r="B18" s="840" t="s">
        <v>485</v>
      </c>
      <c r="C18" s="841">
        <f t="shared" si="0"/>
        <v>601.5</v>
      </c>
      <c r="D18" s="843"/>
      <c r="E18" s="843"/>
      <c r="F18" s="843"/>
      <c r="G18" s="843"/>
      <c r="H18" s="842">
        <v>601.5</v>
      </c>
      <c r="I18" s="843"/>
      <c r="J18" s="843"/>
      <c r="K18" s="843"/>
      <c r="L18" s="844"/>
    </row>
    <row r="19" spans="2:12" s="235" customFormat="1" ht="15">
      <c r="B19" s="840" t="s">
        <v>486</v>
      </c>
      <c r="C19" s="841">
        <f t="shared" si="0"/>
        <v>1368</v>
      </c>
      <c r="D19" s="843"/>
      <c r="E19" s="843"/>
      <c r="F19" s="843"/>
      <c r="G19" s="843"/>
      <c r="H19" s="842">
        <v>1368</v>
      </c>
      <c r="I19" s="843"/>
      <c r="J19" s="843"/>
      <c r="K19" s="843"/>
      <c r="L19" s="844"/>
    </row>
    <row r="20" spans="2:12" s="235" customFormat="1" ht="15">
      <c r="B20" s="845" t="s">
        <v>487</v>
      </c>
      <c r="C20" s="841">
        <f t="shared" si="0"/>
        <v>919</v>
      </c>
      <c r="D20" s="843"/>
      <c r="E20" s="843"/>
      <c r="F20" s="843"/>
      <c r="G20" s="843"/>
      <c r="H20" s="843"/>
      <c r="I20" s="842">
        <v>919</v>
      </c>
      <c r="J20" s="843"/>
      <c r="K20" s="843"/>
      <c r="L20" s="844"/>
    </row>
    <row r="21" spans="2:12" s="235" customFormat="1" ht="15">
      <c r="B21" s="840" t="s">
        <v>488</v>
      </c>
      <c r="C21" s="841">
        <f t="shared" si="0"/>
        <v>659.1</v>
      </c>
      <c r="D21" s="843"/>
      <c r="E21" s="843"/>
      <c r="F21" s="843"/>
      <c r="G21" s="843"/>
      <c r="H21" s="843"/>
      <c r="I21" s="842">
        <v>659.1</v>
      </c>
      <c r="J21" s="843"/>
      <c r="K21" s="843"/>
      <c r="L21" s="844"/>
    </row>
    <row r="22" spans="2:12" s="235" customFormat="1" ht="15">
      <c r="B22" s="840" t="s">
        <v>489</v>
      </c>
      <c r="C22" s="841">
        <f t="shared" si="0"/>
        <v>1158.19</v>
      </c>
      <c r="D22" s="843"/>
      <c r="E22" s="843"/>
      <c r="F22" s="843"/>
      <c r="G22" s="843"/>
      <c r="H22" s="843"/>
      <c r="I22" s="842">
        <v>1158.19</v>
      </c>
      <c r="J22" s="843"/>
      <c r="K22" s="843"/>
      <c r="L22" s="846"/>
    </row>
    <row r="23" spans="2:12" s="235" customFormat="1" ht="15">
      <c r="B23" s="847" t="s">
        <v>490</v>
      </c>
      <c r="C23" s="848">
        <f t="shared" si="0"/>
        <v>789</v>
      </c>
      <c r="D23" s="849"/>
      <c r="E23" s="849"/>
      <c r="F23" s="849"/>
      <c r="G23" s="849"/>
      <c r="H23" s="849"/>
      <c r="I23" s="850">
        <v>789</v>
      </c>
      <c r="J23" s="849"/>
      <c r="K23" s="849"/>
      <c r="L23" s="851"/>
    </row>
    <row r="24" spans="2:12" s="235" customFormat="1" ht="15">
      <c r="B24" s="852" t="s">
        <v>491</v>
      </c>
      <c r="C24" s="853">
        <v>9192.91</v>
      </c>
      <c r="D24" s="854">
        <f>SUM(D12:D23)</f>
        <v>848.12</v>
      </c>
      <c r="E24" s="854">
        <f t="shared" ref="E24:L24" si="1">SUM(E12:E23)</f>
        <v>1696</v>
      </c>
      <c r="F24" s="854">
        <f t="shared" si="1"/>
        <v>1154</v>
      </c>
      <c r="G24" s="854">
        <f t="shared" si="1"/>
        <v>0</v>
      </c>
      <c r="H24" s="854">
        <f t="shared" si="1"/>
        <v>1969.5</v>
      </c>
      <c r="I24" s="854">
        <f t="shared" si="1"/>
        <v>3525.29</v>
      </c>
      <c r="J24" s="854">
        <f t="shared" si="1"/>
        <v>0</v>
      </c>
      <c r="K24" s="854">
        <f t="shared" si="1"/>
        <v>0</v>
      </c>
      <c r="L24" s="855">
        <f t="shared" si="1"/>
        <v>0</v>
      </c>
    </row>
    <row r="25" spans="2:12" s="235" customFormat="1" ht="15">
      <c r="B25" s="856"/>
      <c r="C25" s="857"/>
      <c r="D25" s="858"/>
      <c r="E25" s="858"/>
      <c r="F25" s="858"/>
      <c r="G25" s="858"/>
      <c r="H25" s="858"/>
      <c r="I25" s="858"/>
      <c r="J25" s="858"/>
      <c r="K25" s="858"/>
      <c r="L25" s="858"/>
    </row>
    <row r="26" spans="2:12" s="773" customFormat="1" ht="18.75">
      <c r="B26" s="829" t="s">
        <v>492</v>
      </c>
    </row>
    <row r="27" spans="2:12" ht="15">
      <c r="B27" s="831" t="s">
        <v>477</v>
      </c>
      <c r="C27" s="832" t="s">
        <v>478</v>
      </c>
      <c r="D27" s="833">
        <v>2019</v>
      </c>
      <c r="E27" s="833">
        <v>2020</v>
      </c>
      <c r="F27" s="833">
        <v>2021</v>
      </c>
      <c r="G27" s="833">
        <v>2022</v>
      </c>
      <c r="H27" s="833">
        <v>2023</v>
      </c>
      <c r="I27" s="833">
        <v>2024</v>
      </c>
      <c r="J27" s="833">
        <v>2025</v>
      </c>
      <c r="K27" s="833">
        <v>2026</v>
      </c>
      <c r="L27" s="834">
        <v>2027</v>
      </c>
    </row>
    <row r="28" spans="2:12" ht="15">
      <c r="B28" s="859" t="s">
        <v>493</v>
      </c>
      <c r="C28" s="836">
        <f t="shared" ref="C28:C34" si="2">SUM(D28:L28)</f>
        <v>3971</v>
      </c>
      <c r="D28" s="838"/>
      <c r="E28" s="838"/>
      <c r="F28" s="838"/>
      <c r="G28" s="860">
        <v>3971</v>
      </c>
      <c r="H28" s="838"/>
      <c r="I28" s="838"/>
      <c r="J28" s="838"/>
      <c r="K28" s="838"/>
      <c r="L28" s="839"/>
    </row>
    <row r="29" spans="2:12" ht="15">
      <c r="B29" s="861" t="s">
        <v>494</v>
      </c>
      <c r="C29" s="841">
        <f t="shared" si="2"/>
        <v>520.82000000000005</v>
      </c>
      <c r="D29" s="843"/>
      <c r="E29" s="843"/>
      <c r="F29" s="843"/>
      <c r="G29" s="843"/>
      <c r="H29" s="862">
        <v>520.82000000000005</v>
      </c>
      <c r="I29" s="843"/>
      <c r="J29" s="843"/>
      <c r="K29" s="843"/>
      <c r="L29" s="844"/>
    </row>
    <row r="30" spans="2:12" ht="15">
      <c r="B30" s="861" t="s">
        <v>495</v>
      </c>
      <c r="C30" s="841">
        <f t="shared" si="2"/>
        <v>142</v>
      </c>
      <c r="D30" s="843"/>
      <c r="E30" s="843"/>
      <c r="F30" s="843"/>
      <c r="G30" s="843"/>
      <c r="H30" s="843"/>
      <c r="I30" s="862">
        <v>142</v>
      </c>
      <c r="J30" s="843"/>
      <c r="K30" s="843"/>
      <c r="L30" s="844"/>
    </row>
    <row r="31" spans="2:12" ht="15">
      <c r="B31" s="861" t="s">
        <v>496</v>
      </c>
      <c r="C31" s="841">
        <f t="shared" si="2"/>
        <v>1619</v>
      </c>
      <c r="D31" s="843"/>
      <c r="E31" s="843"/>
      <c r="F31" s="843"/>
      <c r="G31" s="843"/>
      <c r="H31" s="843"/>
      <c r="I31" s="843"/>
      <c r="J31" s="862">
        <v>1619</v>
      </c>
      <c r="K31" s="843"/>
      <c r="L31" s="844"/>
    </row>
    <row r="32" spans="2:12" ht="30">
      <c r="B32" s="861" t="s">
        <v>497</v>
      </c>
      <c r="C32" s="841">
        <f t="shared" si="2"/>
        <v>7334</v>
      </c>
      <c r="D32" s="843"/>
      <c r="E32" s="843"/>
      <c r="F32" s="843"/>
      <c r="G32" s="843"/>
      <c r="H32" s="843"/>
      <c r="I32" s="843"/>
      <c r="J32" s="843"/>
      <c r="K32" s="862">
        <v>7334</v>
      </c>
      <c r="L32" s="844"/>
    </row>
    <row r="33" spans="2:14" ht="15">
      <c r="B33" s="861" t="s">
        <v>498</v>
      </c>
      <c r="C33" s="841">
        <f t="shared" si="2"/>
        <v>3729</v>
      </c>
      <c r="D33" s="843"/>
      <c r="E33" s="843"/>
      <c r="F33" s="843"/>
      <c r="G33" s="843"/>
      <c r="H33" s="843"/>
      <c r="I33" s="843"/>
      <c r="J33" s="843"/>
      <c r="K33" s="843"/>
      <c r="L33" s="863">
        <v>3729</v>
      </c>
    </row>
    <row r="34" spans="2:14" ht="15">
      <c r="B34" s="864" t="s">
        <v>499</v>
      </c>
      <c r="C34" s="848">
        <f t="shared" si="2"/>
        <v>1524</v>
      </c>
      <c r="D34" s="849"/>
      <c r="E34" s="849"/>
      <c r="F34" s="849"/>
      <c r="G34" s="849"/>
      <c r="H34" s="849"/>
      <c r="I34" s="849"/>
      <c r="J34" s="849"/>
      <c r="K34" s="849"/>
      <c r="L34" s="865">
        <v>1524</v>
      </c>
    </row>
    <row r="35" spans="2:14" ht="15">
      <c r="B35" s="831" t="s">
        <v>500</v>
      </c>
      <c r="C35" s="853">
        <v>18839.82</v>
      </c>
      <c r="D35" s="854">
        <f>SUM(D28:D34)</f>
        <v>0</v>
      </c>
      <c r="E35" s="854">
        <f t="shared" ref="E35:L35" si="3">SUM(E28:E34)</f>
        <v>0</v>
      </c>
      <c r="F35" s="854">
        <f t="shared" si="3"/>
        <v>0</v>
      </c>
      <c r="G35" s="854">
        <f t="shared" si="3"/>
        <v>3971</v>
      </c>
      <c r="H35" s="854">
        <f t="shared" si="3"/>
        <v>520.82000000000005</v>
      </c>
      <c r="I35" s="854">
        <f t="shared" si="3"/>
        <v>142</v>
      </c>
      <c r="J35" s="854">
        <f t="shared" si="3"/>
        <v>1619</v>
      </c>
      <c r="K35" s="854">
        <f t="shared" si="3"/>
        <v>7334</v>
      </c>
      <c r="L35" s="855">
        <f t="shared" si="3"/>
        <v>5253</v>
      </c>
    </row>
    <row r="36" spans="2:14">
      <c r="B36" s="812"/>
    </row>
    <row r="37" spans="2:14">
      <c r="B37" s="812"/>
      <c r="D37" s="229">
        <v>4</v>
      </c>
      <c r="E37" s="229">
        <v>5</v>
      </c>
      <c r="F37" s="229">
        <v>6</v>
      </c>
      <c r="G37" s="229">
        <v>7</v>
      </c>
      <c r="H37" s="229">
        <v>8</v>
      </c>
      <c r="I37" s="229">
        <v>9</v>
      </c>
      <c r="J37" s="229">
        <v>10</v>
      </c>
      <c r="K37" s="229">
        <v>11</v>
      </c>
      <c r="L37" s="229">
        <v>12</v>
      </c>
    </row>
    <row r="38" spans="2:14">
      <c r="B38" s="812"/>
      <c r="C38" s="229" t="s">
        <v>501</v>
      </c>
      <c r="F38" s="866">
        <v>0.56000000000000005</v>
      </c>
      <c r="G38" s="866">
        <f>F38+(G35/$C$35)*0.44</f>
        <v>0.65274186271418733</v>
      </c>
      <c r="H38" s="866">
        <f t="shared" ref="H38:L38" si="4">G38+(H35/$C$35)*0.44</f>
        <v>0.66490550334345022</v>
      </c>
      <c r="I38" s="866">
        <f t="shared" si="4"/>
        <v>0.66822188322393739</v>
      </c>
      <c r="J38" s="866">
        <f t="shared" si="4"/>
        <v>0.70603328481906935</v>
      </c>
      <c r="K38" s="866">
        <f t="shared" si="4"/>
        <v>0.87731729920986501</v>
      </c>
      <c r="L38" s="866">
        <f t="shared" si="4"/>
        <v>1</v>
      </c>
    </row>
    <row r="39" spans="2:14">
      <c r="C39" s="229" t="s">
        <v>502</v>
      </c>
      <c r="F39" s="866">
        <v>0.57999999999999996</v>
      </c>
      <c r="G39" s="866">
        <v>0.68</v>
      </c>
      <c r="H39" s="866">
        <v>0.72</v>
      </c>
      <c r="I39" s="866">
        <v>0.75</v>
      </c>
      <c r="J39" s="866">
        <v>0.79</v>
      </c>
      <c r="K39" s="866">
        <v>0.87</v>
      </c>
      <c r="L39" s="866">
        <v>1</v>
      </c>
      <c r="M39" s="866"/>
      <c r="N39" s="866"/>
    </row>
  </sheetData>
  <mergeCells count="5">
    <mergeCell ref="B3:F3"/>
    <mergeCell ref="B4:C4"/>
    <mergeCell ref="B5:C5"/>
    <mergeCell ref="B6:C6"/>
    <mergeCell ref="B7:C7"/>
  </mergeCells>
  <pageMargins left="0.511811024" right="0.511811024" top="0.78740157499999996" bottom="0.78740157499999996" header="0.31496062000000002" footer="0.31496062000000002"/>
  <ignoredErrors>
    <ignoredError sqref="D24:L24" formulaRange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48">
    <tabColor rgb="FF7030A0"/>
  </sheetPr>
  <dimension ref="A1:L35"/>
  <sheetViews>
    <sheetView showGridLines="0" workbookViewId="0">
      <selection activeCell="F9" sqref="F9"/>
    </sheetView>
  </sheetViews>
  <sheetFormatPr defaultColWidth="11.5703125" defaultRowHeight="12.75"/>
  <cols>
    <col min="1" max="1" width="7.7109375" style="166" customWidth="1"/>
    <col min="2" max="2" width="1.5703125" style="166" bestFit="1" customWidth="1"/>
    <col min="3" max="3" width="7.7109375" style="166" customWidth="1"/>
    <col min="4" max="4" width="8.7109375" style="157" customWidth="1"/>
    <col min="5" max="8" width="17.85546875" style="157" customWidth="1"/>
    <col min="9" max="9" width="2.7109375" style="157" customWidth="1"/>
    <col min="10" max="10" width="11.5703125" style="157" customWidth="1"/>
    <col min="11" max="11" width="15.7109375" style="157" customWidth="1"/>
    <col min="12" max="12" width="15.5703125" style="157" customWidth="1"/>
    <col min="13" max="255" width="11.5703125" style="157"/>
    <col min="256" max="256" width="8.7109375" style="157" customWidth="1"/>
    <col min="257" max="260" width="17.85546875" style="157" customWidth="1"/>
    <col min="261" max="261" width="14.140625" style="157" customWidth="1"/>
    <col min="262" max="262" width="11.5703125" style="157" customWidth="1"/>
    <col min="263" max="263" width="18.140625" style="157" customWidth="1"/>
    <col min="264" max="264" width="17.5703125" style="157" customWidth="1"/>
    <col min="265" max="265" width="17.7109375" style="157" customWidth="1"/>
    <col min="266" max="266" width="17.140625" style="157" customWidth="1"/>
    <col min="267" max="267" width="15.7109375" style="157" customWidth="1"/>
    <col min="268" max="268" width="15.5703125" style="157" customWidth="1"/>
    <col min="269" max="511" width="11.5703125" style="157"/>
    <col min="512" max="512" width="8.7109375" style="157" customWidth="1"/>
    <col min="513" max="516" width="17.85546875" style="157" customWidth="1"/>
    <col min="517" max="517" width="14.140625" style="157" customWidth="1"/>
    <col min="518" max="518" width="11.5703125" style="157" customWidth="1"/>
    <col min="519" max="519" width="18.140625" style="157" customWidth="1"/>
    <col min="520" max="520" width="17.5703125" style="157" customWidth="1"/>
    <col min="521" max="521" width="17.7109375" style="157" customWidth="1"/>
    <col min="522" max="522" width="17.140625" style="157" customWidth="1"/>
    <col min="523" max="523" width="15.7109375" style="157" customWidth="1"/>
    <col min="524" max="524" width="15.5703125" style="157" customWidth="1"/>
    <col min="525" max="767" width="11.5703125" style="157"/>
    <col min="768" max="768" width="8.7109375" style="157" customWidth="1"/>
    <col min="769" max="772" width="17.85546875" style="157" customWidth="1"/>
    <col min="773" max="773" width="14.140625" style="157" customWidth="1"/>
    <col min="774" max="774" width="11.5703125" style="157" customWidth="1"/>
    <col min="775" max="775" width="18.140625" style="157" customWidth="1"/>
    <col min="776" max="776" width="17.5703125" style="157" customWidth="1"/>
    <col min="777" max="777" width="17.7109375" style="157" customWidth="1"/>
    <col min="778" max="778" width="17.140625" style="157" customWidth="1"/>
    <col min="779" max="779" width="15.7109375" style="157" customWidth="1"/>
    <col min="780" max="780" width="15.5703125" style="157" customWidth="1"/>
    <col min="781" max="1023" width="11.5703125" style="157"/>
    <col min="1024" max="1024" width="8.7109375" style="157" customWidth="1"/>
    <col min="1025" max="1028" width="17.85546875" style="157" customWidth="1"/>
    <col min="1029" max="1029" width="14.140625" style="157" customWidth="1"/>
    <col min="1030" max="1030" width="11.5703125" style="157" customWidth="1"/>
    <col min="1031" max="1031" width="18.140625" style="157" customWidth="1"/>
    <col min="1032" max="1032" width="17.5703125" style="157" customWidth="1"/>
    <col min="1033" max="1033" width="17.7109375" style="157" customWidth="1"/>
    <col min="1034" max="1034" width="17.140625" style="157" customWidth="1"/>
    <col min="1035" max="1035" width="15.7109375" style="157" customWidth="1"/>
    <col min="1036" max="1036" width="15.5703125" style="157" customWidth="1"/>
    <col min="1037" max="1279" width="11.5703125" style="157"/>
    <col min="1280" max="1280" width="8.7109375" style="157" customWidth="1"/>
    <col min="1281" max="1284" width="17.85546875" style="157" customWidth="1"/>
    <col min="1285" max="1285" width="14.140625" style="157" customWidth="1"/>
    <col min="1286" max="1286" width="11.5703125" style="157" customWidth="1"/>
    <col min="1287" max="1287" width="18.140625" style="157" customWidth="1"/>
    <col min="1288" max="1288" width="17.5703125" style="157" customWidth="1"/>
    <col min="1289" max="1289" width="17.7109375" style="157" customWidth="1"/>
    <col min="1290" max="1290" width="17.140625" style="157" customWidth="1"/>
    <col min="1291" max="1291" width="15.7109375" style="157" customWidth="1"/>
    <col min="1292" max="1292" width="15.5703125" style="157" customWidth="1"/>
    <col min="1293" max="1535" width="11.5703125" style="157"/>
    <col min="1536" max="1536" width="8.7109375" style="157" customWidth="1"/>
    <col min="1537" max="1540" width="17.85546875" style="157" customWidth="1"/>
    <col min="1541" max="1541" width="14.140625" style="157" customWidth="1"/>
    <col min="1542" max="1542" width="11.5703125" style="157" customWidth="1"/>
    <col min="1543" max="1543" width="18.140625" style="157" customWidth="1"/>
    <col min="1544" max="1544" width="17.5703125" style="157" customWidth="1"/>
    <col min="1545" max="1545" width="17.7109375" style="157" customWidth="1"/>
    <col min="1546" max="1546" width="17.140625" style="157" customWidth="1"/>
    <col min="1547" max="1547" width="15.7109375" style="157" customWidth="1"/>
    <col min="1548" max="1548" width="15.5703125" style="157" customWidth="1"/>
    <col min="1549" max="1791" width="11.5703125" style="157"/>
    <col min="1792" max="1792" width="8.7109375" style="157" customWidth="1"/>
    <col min="1793" max="1796" width="17.85546875" style="157" customWidth="1"/>
    <col min="1797" max="1797" width="14.140625" style="157" customWidth="1"/>
    <col min="1798" max="1798" width="11.5703125" style="157" customWidth="1"/>
    <col min="1799" max="1799" width="18.140625" style="157" customWidth="1"/>
    <col min="1800" max="1800" width="17.5703125" style="157" customWidth="1"/>
    <col min="1801" max="1801" width="17.7109375" style="157" customWidth="1"/>
    <col min="1802" max="1802" width="17.140625" style="157" customWidth="1"/>
    <col min="1803" max="1803" width="15.7109375" style="157" customWidth="1"/>
    <col min="1804" max="1804" width="15.5703125" style="157" customWidth="1"/>
    <col min="1805" max="2047" width="11.5703125" style="157"/>
    <col min="2048" max="2048" width="8.7109375" style="157" customWidth="1"/>
    <col min="2049" max="2052" width="17.85546875" style="157" customWidth="1"/>
    <col min="2053" max="2053" width="14.140625" style="157" customWidth="1"/>
    <col min="2054" max="2054" width="11.5703125" style="157" customWidth="1"/>
    <col min="2055" max="2055" width="18.140625" style="157" customWidth="1"/>
    <col min="2056" max="2056" width="17.5703125" style="157" customWidth="1"/>
    <col min="2057" max="2057" width="17.7109375" style="157" customWidth="1"/>
    <col min="2058" max="2058" width="17.140625" style="157" customWidth="1"/>
    <col min="2059" max="2059" width="15.7109375" style="157" customWidth="1"/>
    <col min="2060" max="2060" width="15.5703125" style="157" customWidth="1"/>
    <col min="2061" max="2303" width="11.5703125" style="157"/>
    <col min="2304" max="2304" width="8.7109375" style="157" customWidth="1"/>
    <col min="2305" max="2308" width="17.85546875" style="157" customWidth="1"/>
    <col min="2309" max="2309" width="14.140625" style="157" customWidth="1"/>
    <col min="2310" max="2310" width="11.5703125" style="157" customWidth="1"/>
    <col min="2311" max="2311" width="18.140625" style="157" customWidth="1"/>
    <col min="2312" max="2312" width="17.5703125" style="157" customWidth="1"/>
    <col min="2313" max="2313" width="17.7109375" style="157" customWidth="1"/>
    <col min="2314" max="2314" width="17.140625" style="157" customWidth="1"/>
    <col min="2315" max="2315" width="15.7109375" style="157" customWidth="1"/>
    <col min="2316" max="2316" width="15.5703125" style="157" customWidth="1"/>
    <col min="2317" max="2559" width="11.5703125" style="157"/>
    <col min="2560" max="2560" width="8.7109375" style="157" customWidth="1"/>
    <col min="2561" max="2564" width="17.85546875" style="157" customWidth="1"/>
    <col min="2565" max="2565" width="14.140625" style="157" customWidth="1"/>
    <col min="2566" max="2566" width="11.5703125" style="157" customWidth="1"/>
    <col min="2567" max="2567" width="18.140625" style="157" customWidth="1"/>
    <col min="2568" max="2568" width="17.5703125" style="157" customWidth="1"/>
    <col min="2569" max="2569" width="17.7109375" style="157" customWidth="1"/>
    <col min="2570" max="2570" width="17.140625" style="157" customWidth="1"/>
    <col min="2571" max="2571" width="15.7109375" style="157" customWidth="1"/>
    <col min="2572" max="2572" width="15.5703125" style="157" customWidth="1"/>
    <col min="2573" max="2815" width="11.5703125" style="157"/>
    <col min="2816" max="2816" width="8.7109375" style="157" customWidth="1"/>
    <col min="2817" max="2820" width="17.85546875" style="157" customWidth="1"/>
    <col min="2821" max="2821" width="14.140625" style="157" customWidth="1"/>
    <col min="2822" max="2822" width="11.5703125" style="157" customWidth="1"/>
    <col min="2823" max="2823" width="18.140625" style="157" customWidth="1"/>
    <col min="2824" max="2824" width="17.5703125" style="157" customWidth="1"/>
    <col min="2825" max="2825" width="17.7109375" style="157" customWidth="1"/>
    <col min="2826" max="2826" width="17.140625" style="157" customWidth="1"/>
    <col min="2827" max="2827" width="15.7109375" style="157" customWidth="1"/>
    <col min="2828" max="2828" width="15.5703125" style="157" customWidth="1"/>
    <col min="2829" max="3071" width="11.5703125" style="157"/>
    <col min="3072" max="3072" width="8.7109375" style="157" customWidth="1"/>
    <col min="3073" max="3076" width="17.85546875" style="157" customWidth="1"/>
    <col min="3077" max="3077" width="14.140625" style="157" customWidth="1"/>
    <col min="3078" max="3078" width="11.5703125" style="157" customWidth="1"/>
    <col min="3079" max="3079" width="18.140625" style="157" customWidth="1"/>
    <col min="3080" max="3080" width="17.5703125" style="157" customWidth="1"/>
    <col min="3081" max="3081" width="17.7109375" style="157" customWidth="1"/>
    <col min="3082" max="3082" width="17.140625" style="157" customWidth="1"/>
    <col min="3083" max="3083" width="15.7109375" style="157" customWidth="1"/>
    <col min="3084" max="3084" width="15.5703125" style="157" customWidth="1"/>
    <col min="3085" max="3327" width="11.5703125" style="157"/>
    <col min="3328" max="3328" width="8.7109375" style="157" customWidth="1"/>
    <col min="3329" max="3332" width="17.85546875" style="157" customWidth="1"/>
    <col min="3333" max="3333" width="14.140625" style="157" customWidth="1"/>
    <col min="3334" max="3334" width="11.5703125" style="157" customWidth="1"/>
    <col min="3335" max="3335" width="18.140625" style="157" customWidth="1"/>
    <col min="3336" max="3336" width="17.5703125" style="157" customWidth="1"/>
    <col min="3337" max="3337" width="17.7109375" style="157" customWidth="1"/>
    <col min="3338" max="3338" width="17.140625" style="157" customWidth="1"/>
    <col min="3339" max="3339" width="15.7109375" style="157" customWidth="1"/>
    <col min="3340" max="3340" width="15.5703125" style="157" customWidth="1"/>
    <col min="3341" max="3583" width="11.5703125" style="157"/>
    <col min="3584" max="3584" width="8.7109375" style="157" customWidth="1"/>
    <col min="3585" max="3588" width="17.85546875" style="157" customWidth="1"/>
    <col min="3589" max="3589" width="14.140625" style="157" customWidth="1"/>
    <col min="3590" max="3590" width="11.5703125" style="157" customWidth="1"/>
    <col min="3591" max="3591" width="18.140625" style="157" customWidth="1"/>
    <col min="3592" max="3592" width="17.5703125" style="157" customWidth="1"/>
    <col min="3593" max="3593" width="17.7109375" style="157" customWidth="1"/>
    <col min="3594" max="3594" width="17.140625" style="157" customWidth="1"/>
    <col min="3595" max="3595" width="15.7109375" style="157" customWidth="1"/>
    <col min="3596" max="3596" width="15.5703125" style="157" customWidth="1"/>
    <col min="3597" max="3839" width="11.5703125" style="157"/>
    <col min="3840" max="3840" width="8.7109375" style="157" customWidth="1"/>
    <col min="3841" max="3844" width="17.85546875" style="157" customWidth="1"/>
    <col min="3845" max="3845" width="14.140625" style="157" customWidth="1"/>
    <col min="3846" max="3846" width="11.5703125" style="157" customWidth="1"/>
    <col min="3847" max="3847" width="18.140625" style="157" customWidth="1"/>
    <col min="3848" max="3848" width="17.5703125" style="157" customWidth="1"/>
    <col min="3849" max="3849" width="17.7109375" style="157" customWidth="1"/>
    <col min="3850" max="3850" width="17.140625" style="157" customWidth="1"/>
    <col min="3851" max="3851" width="15.7109375" style="157" customWidth="1"/>
    <col min="3852" max="3852" width="15.5703125" style="157" customWidth="1"/>
    <col min="3853" max="4095" width="11.5703125" style="157"/>
    <col min="4096" max="4096" width="8.7109375" style="157" customWidth="1"/>
    <col min="4097" max="4100" width="17.85546875" style="157" customWidth="1"/>
    <col min="4101" max="4101" width="14.140625" style="157" customWidth="1"/>
    <col min="4102" max="4102" width="11.5703125" style="157" customWidth="1"/>
    <col min="4103" max="4103" width="18.140625" style="157" customWidth="1"/>
    <col min="4104" max="4104" width="17.5703125" style="157" customWidth="1"/>
    <col min="4105" max="4105" width="17.7109375" style="157" customWidth="1"/>
    <col min="4106" max="4106" width="17.140625" style="157" customWidth="1"/>
    <col min="4107" max="4107" width="15.7109375" style="157" customWidth="1"/>
    <col min="4108" max="4108" width="15.5703125" style="157" customWidth="1"/>
    <col min="4109" max="4351" width="11.5703125" style="157"/>
    <col min="4352" max="4352" width="8.7109375" style="157" customWidth="1"/>
    <col min="4353" max="4356" width="17.85546875" style="157" customWidth="1"/>
    <col min="4357" max="4357" width="14.140625" style="157" customWidth="1"/>
    <col min="4358" max="4358" width="11.5703125" style="157" customWidth="1"/>
    <col min="4359" max="4359" width="18.140625" style="157" customWidth="1"/>
    <col min="4360" max="4360" width="17.5703125" style="157" customWidth="1"/>
    <col min="4361" max="4361" width="17.7109375" style="157" customWidth="1"/>
    <col min="4362" max="4362" width="17.140625" style="157" customWidth="1"/>
    <col min="4363" max="4363" width="15.7109375" style="157" customWidth="1"/>
    <col min="4364" max="4364" width="15.5703125" style="157" customWidth="1"/>
    <col min="4365" max="4607" width="11.5703125" style="157"/>
    <col min="4608" max="4608" width="8.7109375" style="157" customWidth="1"/>
    <col min="4609" max="4612" width="17.85546875" style="157" customWidth="1"/>
    <col min="4613" max="4613" width="14.140625" style="157" customWidth="1"/>
    <col min="4614" max="4614" width="11.5703125" style="157" customWidth="1"/>
    <col min="4615" max="4615" width="18.140625" style="157" customWidth="1"/>
    <col min="4616" max="4616" width="17.5703125" style="157" customWidth="1"/>
    <col min="4617" max="4617" width="17.7109375" style="157" customWidth="1"/>
    <col min="4618" max="4618" width="17.140625" style="157" customWidth="1"/>
    <col min="4619" max="4619" width="15.7109375" style="157" customWidth="1"/>
    <col min="4620" max="4620" width="15.5703125" style="157" customWidth="1"/>
    <col min="4621" max="4863" width="11.5703125" style="157"/>
    <col min="4864" max="4864" width="8.7109375" style="157" customWidth="1"/>
    <col min="4865" max="4868" width="17.85546875" style="157" customWidth="1"/>
    <col min="4869" max="4869" width="14.140625" style="157" customWidth="1"/>
    <col min="4870" max="4870" width="11.5703125" style="157" customWidth="1"/>
    <col min="4871" max="4871" width="18.140625" style="157" customWidth="1"/>
    <col min="4872" max="4872" width="17.5703125" style="157" customWidth="1"/>
    <col min="4873" max="4873" width="17.7109375" style="157" customWidth="1"/>
    <col min="4874" max="4874" width="17.140625" style="157" customWidth="1"/>
    <col min="4875" max="4875" width="15.7109375" style="157" customWidth="1"/>
    <col min="4876" max="4876" width="15.5703125" style="157" customWidth="1"/>
    <col min="4877" max="5119" width="11.5703125" style="157"/>
    <col min="5120" max="5120" width="8.7109375" style="157" customWidth="1"/>
    <col min="5121" max="5124" width="17.85546875" style="157" customWidth="1"/>
    <col min="5125" max="5125" width="14.140625" style="157" customWidth="1"/>
    <col min="5126" max="5126" width="11.5703125" style="157" customWidth="1"/>
    <col min="5127" max="5127" width="18.140625" style="157" customWidth="1"/>
    <col min="5128" max="5128" width="17.5703125" style="157" customWidth="1"/>
    <col min="5129" max="5129" width="17.7109375" style="157" customWidth="1"/>
    <col min="5130" max="5130" width="17.140625" style="157" customWidth="1"/>
    <col min="5131" max="5131" width="15.7109375" style="157" customWidth="1"/>
    <col min="5132" max="5132" width="15.5703125" style="157" customWidth="1"/>
    <col min="5133" max="5375" width="11.5703125" style="157"/>
    <col min="5376" max="5376" width="8.7109375" style="157" customWidth="1"/>
    <col min="5377" max="5380" width="17.85546875" style="157" customWidth="1"/>
    <col min="5381" max="5381" width="14.140625" style="157" customWidth="1"/>
    <col min="5382" max="5382" width="11.5703125" style="157" customWidth="1"/>
    <col min="5383" max="5383" width="18.140625" style="157" customWidth="1"/>
    <col min="5384" max="5384" width="17.5703125" style="157" customWidth="1"/>
    <col min="5385" max="5385" width="17.7109375" style="157" customWidth="1"/>
    <col min="5386" max="5386" width="17.140625" style="157" customWidth="1"/>
    <col min="5387" max="5387" width="15.7109375" style="157" customWidth="1"/>
    <col min="5388" max="5388" width="15.5703125" style="157" customWidth="1"/>
    <col min="5389" max="5631" width="11.5703125" style="157"/>
    <col min="5632" max="5632" width="8.7109375" style="157" customWidth="1"/>
    <col min="5633" max="5636" width="17.85546875" style="157" customWidth="1"/>
    <col min="5637" max="5637" width="14.140625" style="157" customWidth="1"/>
    <col min="5638" max="5638" width="11.5703125" style="157" customWidth="1"/>
    <col min="5639" max="5639" width="18.140625" style="157" customWidth="1"/>
    <col min="5640" max="5640" width="17.5703125" style="157" customWidth="1"/>
    <col min="5641" max="5641" width="17.7109375" style="157" customWidth="1"/>
    <col min="5642" max="5642" width="17.140625" style="157" customWidth="1"/>
    <col min="5643" max="5643" width="15.7109375" style="157" customWidth="1"/>
    <col min="5644" max="5644" width="15.5703125" style="157" customWidth="1"/>
    <col min="5645" max="5887" width="11.5703125" style="157"/>
    <col min="5888" max="5888" width="8.7109375" style="157" customWidth="1"/>
    <col min="5889" max="5892" width="17.85546875" style="157" customWidth="1"/>
    <col min="5893" max="5893" width="14.140625" style="157" customWidth="1"/>
    <col min="5894" max="5894" width="11.5703125" style="157" customWidth="1"/>
    <col min="5895" max="5895" width="18.140625" style="157" customWidth="1"/>
    <col min="5896" max="5896" width="17.5703125" style="157" customWidth="1"/>
    <col min="5897" max="5897" width="17.7109375" style="157" customWidth="1"/>
    <col min="5898" max="5898" width="17.140625" style="157" customWidth="1"/>
    <col min="5899" max="5899" width="15.7109375" style="157" customWidth="1"/>
    <col min="5900" max="5900" width="15.5703125" style="157" customWidth="1"/>
    <col min="5901" max="6143" width="11.5703125" style="157"/>
    <col min="6144" max="6144" width="8.7109375" style="157" customWidth="1"/>
    <col min="6145" max="6148" width="17.85546875" style="157" customWidth="1"/>
    <col min="6149" max="6149" width="14.140625" style="157" customWidth="1"/>
    <col min="6150" max="6150" width="11.5703125" style="157" customWidth="1"/>
    <col min="6151" max="6151" width="18.140625" style="157" customWidth="1"/>
    <col min="6152" max="6152" width="17.5703125" style="157" customWidth="1"/>
    <col min="6153" max="6153" width="17.7109375" style="157" customWidth="1"/>
    <col min="6154" max="6154" width="17.140625" style="157" customWidth="1"/>
    <col min="6155" max="6155" width="15.7109375" style="157" customWidth="1"/>
    <col min="6156" max="6156" width="15.5703125" style="157" customWidth="1"/>
    <col min="6157" max="6399" width="11.5703125" style="157"/>
    <col min="6400" max="6400" width="8.7109375" style="157" customWidth="1"/>
    <col min="6401" max="6404" width="17.85546875" style="157" customWidth="1"/>
    <col min="6405" max="6405" width="14.140625" style="157" customWidth="1"/>
    <col min="6406" max="6406" width="11.5703125" style="157" customWidth="1"/>
    <col min="6407" max="6407" width="18.140625" style="157" customWidth="1"/>
    <col min="6408" max="6408" width="17.5703125" style="157" customWidth="1"/>
    <col min="6409" max="6409" width="17.7109375" style="157" customWidth="1"/>
    <col min="6410" max="6410" width="17.140625" style="157" customWidth="1"/>
    <col min="6411" max="6411" width="15.7109375" style="157" customWidth="1"/>
    <col min="6412" max="6412" width="15.5703125" style="157" customWidth="1"/>
    <col min="6413" max="6655" width="11.5703125" style="157"/>
    <col min="6656" max="6656" width="8.7109375" style="157" customWidth="1"/>
    <col min="6657" max="6660" width="17.85546875" style="157" customWidth="1"/>
    <col min="6661" max="6661" width="14.140625" style="157" customWidth="1"/>
    <col min="6662" max="6662" width="11.5703125" style="157" customWidth="1"/>
    <col min="6663" max="6663" width="18.140625" style="157" customWidth="1"/>
    <col min="6664" max="6664" width="17.5703125" style="157" customWidth="1"/>
    <col min="6665" max="6665" width="17.7109375" style="157" customWidth="1"/>
    <col min="6666" max="6666" width="17.140625" style="157" customWidth="1"/>
    <col min="6667" max="6667" width="15.7109375" style="157" customWidth="1"/>
    <col min="6668" max="6668" width="15.5703125" style="157" customWidth="1"/>
    <col min="6669" max="6911" width="11.5703125" style="157"/>
    <col min="6912" max="6912" width="8.7109375" style="157" customWidth="1"/>
    <col min="6913" max="6916" width="17.85546875" style="157" customWidth="1"/>
    <col min="6917" max="6917" width="14.140625" style="157" customWidth="1"/>
    <col min="6918" max="6918" width="11.5703125" style="157" customWidth="1"/>
    <col min="6919" max="6919" width="18.140625" style="157" customWidth="1"/>
    <col min="6920" max="6920" width="17.5703125" style="157" customWidth="1"/>
    <col min="6921" max="6921" width="17.7109375" style="157" customWidth="1"/>
    <col min="6922" max="6922" width="17.140625" style="157" customWidth="1"/>
    <col min="6923" max="6923" width="15.7109375" style="157" customWidth="1"/>
    <col min="6924" max="6924" width="15.5703125" style="157" customWidth="1"/>
    <col min="6925" max="7167" width="11.5703125" style="157"/>
    <col min="7168" max="7168" width="8.7109375" style="157" customWidth="1"/>
    <col min="7169" max="7172" width="17.85546875" style="157" customWidth="1"/>
    <col min="7173" max="7173" width="14.140625" style="157" customWidth="1"/>
    <col min="7174" max="7174" width="11.5703125" style="157" customWidth="1"/>
    <col min="7175" max="7175" width="18.140625" style="157" customWidth="1"/>
    <col min="7176" max="7176" width="17.5703125" style="157" customWidth="1"/>
    <col min="7177" max="7177" width="17.7109375" style="157" customWidth="1"/>
    <col min="7178" max="7178" width="17.140625" style="157" customWidth="1"/>
    <col min="7179" max="7179" width="15.7109375" style="157" customWidth="1"/>
    <col min="7180" max="7180" width="15.5703125" style="157" customWidth="1"/>
    <col min="7181" max="7423" width="11.5703125" style="157"/>
    <col min="7424" max="7424" width="8.7109375" style="157" customWidth="1"/>
    <col min="7425" max="7428" width="17.85546875" style="157" customWidth="1"/>
    <col min="7429" max="7429" width="14.140625" style="157" customWidth="1"/>
    <col min="7430" max="7430" width="11.5703125" style="157" customWidth="1"/>
    <col min="7431" max="7431" width="18.140625" style="157" customWidth="1"/>
    <col min="7432" max="7432" width="17.5703125" style="157" customWidth="1"/>
    <col min="7433" max="7433" width="17.7109375" style="157" customWidth="1"/>
    <col min="7434" max="7434" width="17.140625" style="157" customWidth="1"/>
    <col min="7435" max="7435" width="15.7109375" style="157" customWidth="1"/>
    <col min="7436" max="7436" width="15.5703125" style="157" customWidth="1"/>
    <col min="7437" max="7679" width="11.5703125" style="157"/>
    <col min="7680" max="7680" width="8.7109375" style="157" customWidth="1"/>
    <col min="7681" max="7684" width="17.85546875" style="157" customWidth="1"/>
    <col min="7685" max="7685" width="14.140625" style="157" customWidth="1"/>
    <col min="7686" max="7686" width="11.5703125" style="157" customWidth="1"/>
    <col min="7687" max="7687" width="18.140625" style="157" customWidth="1"/>
    <col min="7688" max="7688" width="17.5703125" style="157" customWidth="1"/>
    <col min="7689" max="7689" width="17.7109375" style="157" customWidth="1"/>
    <col min="7690" max="7690" width="17.140625" style="157" customWidth="1"/>
    <col min="7691" max="7691" width="15.7109375" style="157" customWidth="1"/>
    <col min="7692" max="7692" width="15.5703125" style="157" customWidth="1"/>
    <col min="7693" max="7935" width="11.5703125" style="157"/>
    <col min="7936" max="7936" width="8.7109375" style="157" customWidth="1"/>
    <col min="7937" max="7940" width="17.85546875" style="157" customWidth="1"/>
    <col min="7941" max="7941" width="14.140625" style="157" customWidth="1"/>
    <col min="7942" max="7942" width="11.5703125" style="157" customWidth="1"/>
    <col min="7943" max="7943" width="18.140625" style="157" customWidth="1"/>
    <col min="7944" max="7944" width="17.5703125" style="157" customWidth="1"/>
    <col min="7945" max="7945" width="17.7109375" style="157" customWidth="1"/>
    <col min="7946" max="7946" width="17.140625" style="157" customWidth="1"/>
    <col min="7947" max="7947" width="15.7109375" style="157" customWidth="1"/>
    <col min="7948" max="7948" width="15.5703125" style="157" customWidth="1"/>
    <col min="7949" max="8191" width="11.5703125" style="157"/>
    <col min="8192" max="8192" width="8.7109375" style="157" customWidth="1"/>
    <col min="8193" max="8196" width="17.85546875" style="157" customWidth="1"/>
    <col min="8197" max="8197" width="14.140625" style="157" customWidth="1"/>
    <col min="8198" max="8198" width="11.5703125" style="157" customWidth="1"/>
    <col min="8199" max="8199" width="18.140625" style="157" customWidth="1"/>
    <col min="8200" max="8200" width="17.5703125" style="157" customWidth="1"/>
    <col min="8201" max="8201" width="17.7109375" style="157" customWidth="1"/>
    <col min="8202" max="8202" width="17.140625" style="157" customWidth="1"/>
    <col min="8203" max="8203" width="15.7109375" style="157" customWidth="1"/>
    <col min="8204" max="8204" width="15.5703125" style="157" customWidth="1"/>
    <col min="8205" max="8447" width="11.5703125" style="157"/>
    <col min="8448" max="8448" width="8.7109375" style="157" customWidth="1"/>
    <col min="8449" max="8452" width="17.85546875" style="157" customWidth="1"/>
    <col min="8453" max="8453" width="14.140625" style="157" customWidth="1"/>
    <col min="8454" max="8454" width="11.5703125" style="157" customWidth="1"/>
    <col min="8455" max="8455" width="18.140625" style="157" customWidth="1"/>
    <col min="8456" max="8456" width="17.5703125" style="157" customWidth="1"/>
    <col min="8457" max="8457" width="17.7109375" style="157" customWidth="1"/>
    <col min="8458" max="8458" width="17.140625" style="157" customWidth="1"/>
    <col min="8459" max="8459" width="15.7109375" style="157" customWidth="1"/>
    <col min="8460" max="8460" width="15.5703125" style="157" customWidth="1"/>
    <col min="8461" max="8703" width="11.5703125" style="157"/>
    <col min="8704" max="8704" width="8.7109375" style="157" customWidth="1"/>
    <col min="8705" max="8708" width="17.85546875" style="157" customWidth="1"/>
    <col min="8709" max="8709" width="14.140625" style="157" customWidth="1"/>
    <col min="8710" max="8710" width="11.5703125" style="157" customWidth="1"/>
    <col min="8711" max="8711" width="18.140625" style="157" customWidth="1"/>
    <col min="8712" max="8712" width="17.5703125" style="157" customWidth="1"/>
    <col min="8713" max="8713" width="17.7109375" style="157" customWidth="1"/>
    <col min="8714" max="8714" width="17.140625" style="157" customWidth="1"/>
    <col min="8715" max="8715" width="15.7109375" style="157" customWidth="1"/>
    <col min="8716" max="8716" width="15.5703125" style="157" customWidth="1"/>
    <col min="8717" max="8959" width="11.5703125" style="157"/>
    <col min="8960" max="8960" width="8.7109375" style="157" customWidth="1"/>
    <col min="8961" max="8964" width="17.85546875" style="157" customWidth="1"/>
    <col min="8965" max="8965" width="14.140625" style="157" customWidth="1"/>
    <col min="8966" max="8966" width="11.5703125" style="157" customWidth="1"/>
    <col min="8967" max="8967" width="18.140625" style="157" customWidth="1"/>
    <col min="8968" max="8968" width="17.5703125" style="157" customWidth="1"/>
    <col min="8969" max="8969" width="17.7109375" style="157" customWidth="1"/>
    <col min="8970" max="8970" width="17.140625" style="157" customWidth="1"/>
    <col min="8971" max="8971" width="15.7109375" style="157" customWidth="1"/>
    <col min="8972" max="8972" width="15.5703125" style="157" customWidth="1"/>
    <col min="8973" max="9215" width="11.5703125" style="157"/>
    <col min="9216" max="9216" width="8.7109375" style="157" customWidth="1"/>
    <col min="9217" max="9220" width="17.85546875" style="157" customWidth="1"/>
    <col min="9221" max="9221" width="14.140625" style="157" customWidth="1"/>
    <col min="9222" max="9222" width="11.5703125" style="157" customWidth="1"/>
    <col min="9223" max="9223" width="18.140625" style="157" customWidth="1"/>
    <col min="9224" max="9224" width="17.5703125" style="157" customWidth="1"/>
    <col min="9225" max="9225" width="17.7109375" style="157" customWidth="1"/>
    <col min="9226" max="9226" width="17.140625" style="157" customWidth="1"/>
    <col min="9227" max="9227" width="15.7109375" style="157" customWidth="1"/>
    <col min="9228" max="9228" width="15.5703125" style="157" customWidth="1"/>
    <col min="9229" max="9471" width="11.5703125" style="157"/>
    <col min="9472" max="9472" width="8.7109375" style="157" customWidth="1"/>
    <col min="9473" max="9476" width="17.85546875" style="157" customWidth="1"/>
    <col min="9477" max="9477" width="14.140625" style="157" customWidth="1"/>
    <col min="9478" max="9478" width="11.5703125" style="157" customWidth="1"/>
    <col min="9479" max="9479" width="18.140625" style="157" customWidth="1"/>
    <col min="9480" max="9480" width="17.5703125" style="157" customWidth="1"/>
    <col min="9481" max="9481" width="17.7109375" style="157" customWidth="1"/>
    <col min="9482" max="9482" width="17.140625" style="157" customWidth="1"/>
    <col min="9483" max="9483" width="15.7109375" style="157" customWidth="1"/>
    <col min="9484" max="9484" width="15.5703125" style="157" customWidth="1"/>
    <col min="9485" max="9727" width="11.5703125" style="157"/>
    <col min="9728" max="9728" width="8.7109375" style="157" customWidth="1"/>
    <col min="9729" max="9732" width="17.85546875" style="157" customWidth="1"/>
    <col min="9733" max="9733" width="14.140625" style="157" customWidth="1"/>
    <col min="9734" max="9734" width="11.5703125" style="157" customWidth="1"/>
    <col min="9735" max="9735" width="18.140625" style="157" customWidth="1"/>
    <col min="9736" max="9736" width="17.5703125" style="157" customWidth="1"/>
    <col min="9737" max="9737" width="17.7109375" style="157" customWidth="1"/>
    <col min="9738" max="9738" width="17.140625" style="157" customWidth="1"/>
    <col min="9739" max="9739" width="15.7109375" style="157" customWidth="1"/>
    <col min="9740" max="9740" width="15.5703125" style="157" customWidth="1"/>
    <col min="9741" max="9983" width="11.5703125" style="157"/>
    <col min="9984" max="9984" width="8.7109375" style="157" customWidth="1"/>
    <col min="9985" max="9988" width="17.85546875" style="157" customWidth="1"/>
    <col min="9989" max="9989" width="14.140625" style="157" customWidth="1"/>
    <col min="9990" max="9990" width="11.5703125" style="157" customWidth="1"/>
    <col min="9991" max="9991" width="18.140625" style="157" customWidth="1"/>
    <col min="9992" max="9992" width="17.5703125" style="157" customWidth="1"/>
    <col min="9993" max="9993" width="17.7109375" style="157" customWidth="1"/>
    <col min="9994" max="9994" width="17.140625" style="157" customWidth="1"/>
    <col min="9995" max="9995" width="15.7109375" style="157" customWidth="1"/>
    <col min="9996" max="9996" width="15.5703125" style="157" customWidth="1"/>
    <col min="9997" max="10239" width="11.5703125" style="157"/>
    <col min="10240" max="10240" width="8.7109375" style="157" customWidth="1"/>
    <col min="10241" max="10244" width="17.85546875" style="157" customWidth="1"/>
    <col min="10245" max="10245" width="14.140625" style="157" customWidth="1"/>
    <col min="10246" max="10246" width="11.5703125" style="157" customWidth="1"/>
    <col min="10247" max="10247" width="18.140625" style="157" customWidth="1"/>
    <col min="10248" max="10248" width="17.5703125" style="157" customWidth="1"/>
    <col min="10249" max="10249" width="17.7109375" style="157" customWidth="1"/>
    <col min="10250" max="10250" width="17.140625" style="157" customWidth="1"/>
    <col min="10251" max="10251" width="15.7109375" style="157" customWidth="1"/>
    <col min="10252" max="10252" width="15.5703125" style="157" customWidth="1"/>
    <col min="10253" max="10495" width="11.5703125" style="157"/>
    <col min="10496" max="10496" width="8.7109375" style="157" customWidth="1"/>
    <col min="10497" max="10500" width="17.85546875" style="157" customWidth="1"/>
    <col min="10501" max="10501" width="14.140625" style="157" customWidth="1"/>
    <col min="10502" max="10502" width="11.5703125" style="157" customWidth="1"/>
    <col min="10503" max="10503" width="18.140625" style="157" customWidth="1"/>
    <col min="10504" max="10504" width="17.5703125" style="157" customWidth="1"/>
    <col min="10505" max="10505" width="17.7109375" style="157" customWidth="1"/>
    <col min="10506" max="10506" width="17.140625" style="157" customWidth="1"/>
    <col min="10507" max="10507" width="15.7109375" style="157" customWidth="1"/>
    <col min="10508" max="10508" width="15.5703125" style="157" customWidth="1"/>
    <col min="10509" max="10751" width="11.5703125" style="157"/>
    <col min="10752" max="10752" width="8.7109375" style="157" customWidth="1"/>
    <col min="10753" max="10756" width="17.85546875" style="157" customWidth="1"/>
    <col min="10757" max="10757" width="14.140625" style="157" customWidth="1"/>
    <col min="10758" max="10758" width="11.5703125" style="157" customWidth="1"/>
    <col min="10759" max="10759" width="18.140625" style="157" customWidth="1"/>
    <col min="10760" max="10760" width="17.5703125" style="157" customWidth="1"/>
    <col min="10761" max="10761" width="17.7109375" style="157" customWidth="1"/>
    <col min="10762" max="10762" width="17.140625" style="157" customWidth="1"/>
    <col min="10763" max="10763" width="15.7109375" style="157" customWidth="1"/>
    <col min="10764" max="10764" width="15.5703125" style="157" customWidth="1"/>
    <col min="10765" max="11007" width="11.5703125" style="157"/>
    <col min="11008" max="11008" width="8.7109375" style="157" customWidth="1"/>
    <col min="11009" max="11012" width="17.85546875" style="157" customWidth="1"/>
    <col min="11013" max="11013" width="14.140625" style="157" customWidth="1"/>
    <col min="11014" max="11014" width="11.5703125" style="157" customWidth="1"/>
    <col min="11015" max="11015" width="18.140625" style="157" customWidth="1"/>
    <col min="11016" max="11016" width="17.5703125" style="157" customWidth="1"/>
    <col min="11017" max="11017" width="17.7109375" style="157" customWidth="1"/>
    <col min="11018" max="11018" width="17.140625" style="157" customWidth="1"/>
    <col min="11019" max="11019" width="15.7109375" style="157" customWidth="1"/>
    <col min="11020" max="11020" width="15.5703125" style="157" customWidth="1"/>
    <col min="11021" max="11263" width="11.5703125" style="157"/>
    <col min="11264" max="11264" width="8.7109375" style="157" customWidth="1"/>
    <col min="11265" max="11268" width="17.85546875" style="157" customWidth="1"/>
    <col min="11269" max="11269" width="14.140625" style="157" customWidth="1"/>
    <col min="11270" max="11270" width="11.5703125" style="157" customWidth="1"/>
    <col min="11271" max="11271" width="18.140625" style="157" customWidth="1"/>
    <col min="11272" max="11272" width="17.5703125" style="157" customWidth="1"/>
    <col min="11273" max="11273" width="17.7109375" style="157" customWidth="1"/>
    <col min="11274" max="11274" width="17.140625" style="157" customWidth="1"/>
    <col min="11275" max="11275" width="15.7109375" style="157" customWidth="1"/>
    <col min="11276" max="11276" width="15.5703125" style="157" customWidth="1"/>
    <col min="11277" max="11519" width="11.5703125" style="157"/>
    <col min="11520" max="11520" width="8.7109375" style="157" customWidth="1"/>
    <col min="11521" max="11524" width="17.85546875" style="157" customWidth="1"/>
    <col min="11525" max="11525" width="14.140625" style="157" customWidth="1"/>
    <col min="11526" max="11526" width="11.5703125" style="157" customWidth="1"/>
    <col min="11527" max="11527" width="18.140625" style="157" customWidth="1"/>
    <col min="11528" max="11528" width="17.5703125" style="157" customWidth="1"/>
    <col min="11529" max="11529" width="17.7109375" style="157" customWidth="1"/>
    <col min="11530" max="11530" width="17.140625" style="157" customWidth="1"/>
    <col min="11531" max="11531" width="15.7109375" style="157" customWidth="1"/>
    <col min="11532" max="11532" width="15.5703125" style="157" customWidth="1"/>
    <col min="11533" max="11775" width="11.5703125" style="157"/>
    <col min="11776" max="11776" width="8.7109375" style="157" customWidth="1"/>
    <col min="11777" max="11780" width="17.85546875" style="157" customWidth="1"/>
    <col min="11781" max="11781" width="14.140625" style="157" customWidth="1"/>
    <col min="11782" max="11782" width="11.5703125" style="157" customWidth="1"/>
    <col min="11783" max="11783" width="18.140625" style="157" customWidth="1"/>
    <col min="11784" max="11784" width="17.5703125" style="157" customWidth="1"/>
    <col min="11785" max="11785" width="17.7109375" style="157" customWidth="1"/>
    <col min="11786" max="11786" width="17.140625" style="157" customWidth="1"/>
    <col min="11787" max="11787" width="15.7109375" style="157" customWidth="1"/>
    <col min="11788" max="11788" width="15.5703125" style="157" customWidth="1"/>
    <col min="11789" max="12031" width="11.5703125" style="157"/>
    <col min="12032" max="12032" width="8.7109375" style="157" customWidth="1"/>
    <col min="12033" max="12036" width="17.85546875" style="157" customWidth="1"/>
    <col min="12037" max="12037" width="14.140625" style="157" customWidth="1"/>
    <col min="12038" max="12038" width="11.5703125" style="157" customWidth="1"/>
    <col min="12039" max="12039" width="18.140625" style="157" customWidth="1"/>
    <col min="12040" max="12040" width="17.5703125" style="157" customWidth="1"/>
    <col min="12041" max="12041" width="17.7109375" style="157" customWidth="1"/>
    <col min="12042" max="12042" width="17.140625" style="157" customWidth="1"/>
    <col min="12043" max="12043" width="15.7109375" style="157" customWidth="1"/>
    <col min="12044" max="12044" width="15.5703125" style="157" customWidth="1"/>
    <col min="12045" max="12287" width="11.5703125" style="157"/>
    <col min="12288" max="12288" width="8.7109375" style="157" customWidth="1"/>
    <col min="12289" max="12292" width="17.85546875" style="157" customWidth="1"/>
    <col min="12293" max="12293" width="14.140625" style="157" customWidth="1"/>
    <col min="12294" max="12294" width="11.5703125" style="157" customWidth="1"/>
    <col min="12295" max="12295" width="18.140625" style="157" customWidth="1"/>
    <col min="12296" max="12296" width="17.5703125" style="157" customWidth="1"/>
    <col min="12297" max="12297" width="17.7109375" style="157" customWidth="1"/>
    <col min="12298" max="12298" width="17.140625" style="157" customWidth="1"/>
    <col min="12299" max="12299" width="15.7109375" style="157" customWidth="1"/>
    <col min="12300" max="12300" width="15.5703125" style="157" customWidth="1"/>
    <col min="12301" max="12543" width="11.5703125" style="157"/>
    <col min="12544" max="12544" width="8.7109375" style="157" customWidth="1"/>
    <col min="12545" max="12548" width="17.85546875" style="157" customWidth="1"/>
    <col min="12549" max="12549" width="14.140625" style="157" customWidth="1"/>
    <col min="12550" max="12550" width="11.5703125" style="157" customWidth="1"/>
    <col min="12551" max="12551" width="18.140625" style="157" customWidth="1"/>
    <col min="12552" max="12552" width="17.5703125" style="157" customWidth="1"/>
    <col min="12553" max="12553" width="17.7109375" style="157" customWidth="1"/>
    <col min="12554" max="12554" width="17.140625" style="157" customWidth="1"/>
    <col min="12555" max="12555" width="15.7109375" style="157" customWidth="1"/>
    <col min="12556" max="12556" width="15.5703125" style="157" customWidth="1"/>
    <col min="12557" max="12799" width="11.5703125" style="157"/>
    <col min="12800" max="12800" width="8.7109375" style="157" customWidth="1"/>
    <col min="12801" max="12804" width="17.85546875" style="157" customWidth="1"/>
    <col min="12805" max="12805" width="14.140625" style="157" customWidth="1"/>
    <col min="12806" max="12806" width="11.5703125" style="157" customWidth="1"/>
    <col min="12807" max="12807" width="18.140625" style="157" customWidth="1"/>
    <col min="12808" max="12808" width="17.5703125" style="157" customWidth="1"/>
    <col min="12809" max="12809" width="17.7109375" style="157" customWidth="1"/>
    <col min="12810" max="12810" width="17.140625" style="157" customWidth="1"/>
    <col min="12811" max="12811" width="15.7109375" style="157" customWidth="1"/>
    <col min="12812" max="12812" width="15.5703125" style="157" customWidth="1"/>
    <col min="12813" max="13055" width="11.5703125" style="157"/>
    <col min="13056" max="13056" width="8.7109375" style="157" customWidth="1"/>
    <col min="13057" max="13060" width="17.85546875" style="157" customWidth="1"/>
    <col min="13061" max="13061" width="14.140625" style="157" customWidth="1"/>
    <col min="13062" max="13062" width="11.5703125" style="157" customWidth="1"/>
    <col min="13063" max="13063" width="18.140625" style="157" customWidth="1"/>
    <col min="13064" max="13064" width="17.5703125" style="157" customWidth="1"/>
    <col min="13065" max="13065" width="17.7109375" style="157" customWidth="1"/>
    <col min="13066" max="13066" width="17.140625" style="157" customWidth="1"/>
    <col min="13067" max="13067" width="15.7109375" style="157" customWidth="1"/>
    <col min="13068" max="13068" width="15.5703125" style="157" customWidth="1"/>
    <col min="13069" max="13311" width="11.5703125" style="157"/>
    <col min="13312" max="13312" width="8.7109375" style="157" customWidth="1"/>
    <col min="13313" max="13316" width="17.85546875" style="157" customWidth="1"/>
    <col min="13317" max="13317" width="14.140625" style="157" customWidth="1"/>
    <col min="13318" max="13318" width="11.5703125" style="157" customWidth="1"/>
    <col min="13319" max="13319" width="18.140625" style="157" customWidth="1"/>
    <col min="13320" max="13320" width="17.5703125" style="157" customWidth="1"/>
    <col min="13321" max="13321" width="17.7109375" style="157" customWidth="1"/>
    <col min="13322" max="13322" width="17.140625" style="157" customWidth="1"/>
    <col min="13323" max="13323" width="15.7109375" style="157" customWidth="1"/>
    <col min="13324" max="13324" width="15.5703125" style="157" customWidth="1"/>
    <col min="13325" max="13567" width="11.5703125" style="157"/>
    <col min="13568" max="13568" width="8.7109375" style="157" customWidth="1"/>
    <col min="13569" max="13572" width="17.85546875" style="157" customWidth="1"/>
    <col min="13573" max="13573" width="14.140625" style="157" customWidth="1"/>
    <col min="13574" max="13574" width="11.5703125" style="157" customWidth="1"/>
    <col min="13575" max="13575" width="18.140625" style="157" customWidth="1"/>
    <col min="13576" max="13576" width="17.5703125" style="157" customWidth="1"/>
    <col min="13577" max="13577" width="17.7109375" style="157" customWidth="1"/>
    <col min="13578" max="13578" width="17.140625" style="157" customWidth="1"/>
    <col min="13579" max="13579" width="15.7109375" style="157" customWidth="1"/>
    <col min="13580" max="13580" width="15.5703125" style="157" customWidth="1"/>
    <col min="13581" max="13823" width="11.5703125" style="157"/>
    <col min="13824" max="13824" width="8.7109375" style="157" customWidth="1"/>
    <col min="13825" max="13828" width="17.85546875" style="157" customWidth="1"/>
    <col min="13829" max="13829" width="14.140625" style="157" customWidth="1"/>
    <col min="13830" max="13830" width="11.5703125" style="157" customWidth="1"/>
    <col min="13831" max="13831" width="18.140625" style="157" customWidth="1"/>
    <col min="13832" max="13832" width="17.5703125" style="157" customWidth="1"/>
    <col min="13833" max="13833" width="17.7109375" style="157" customWidth="1"/>
    <col min="13834" max="13834" width="17.140625" style="157" customWidth="1"/>
    <col min="13835" max="13835" width="15.7109375" style="157" customWidth="1"/>
    <col min="13836" max="13836" width="15.5703125" style="157" customWidth="1"/>
    <col min="13837" max="14079" width="11.5703125" style="157"/>
    <col min="14080" max="14080" width="8.7109375" style="157" customWidth="1"/>
    <col min="14081" max="14084" width="17.85546875" style="157" customWidth="1"/>
    <col min="14085" max="14085" width="14.140625" style="157" customWidth="1"/>
    <col min="14086" max="14086" width="11.5703125" style="157" customWidth="1"/>
    <col min="14087" max="14087" width="18.140625" style="157" customWidth="1"/>
    <col min="14088" max="14088" width="17.5703125" style="157" customWidth="1"/>
    <col min="14089" max="14089" width="17.7109375" style="157" customWidth="1"/>
    <col min="14090" max="14090" width="17.140625" style="157" customWidth="1"/>
    <col min="14091" max="14091" width="15.7109375" style="157" customWidth="1"/>
    <col min="14092" max="14092" width="15.5703125" style="157" customWidth="1"/>
    <col min="14093" max="14335" width="11.5703125" style="157"/>
    <col min="14336" max="14336" width="8.7109375" style="157" customWidth="1"/>
    <col min="14337" max="14340" width="17.85546875" style="157" customWidth="1"/>
    <col min="14341" max="14341" width="14.140625" style="157" customWidth="1"/>
    <col min="14342" max="14342" width="11.5703125" style="157" customWidth="1"/>
    <col min="14343" max="14343" width="18.140625" style="157" customWidth="1"/>
    <col min="14344" max="14344" width="17.5703125" style="157" customWidth="1"/>
    <col min="14345" max="14345" width="17.7109375" style="157" customWidth="1"/>
    <col min="14346" max="14346" width="17.140625" style="157" customWidth="1"/>
    <col min="14347" max="14347" width="15.7109375" style="157" customWidth="1"/>
    <col min="14348" max="14348" width="15.5703125" style="157" customWidth="1"/>
    <col min="14349" max="14591" width="11.5703125" style="157"/>
    <col min="14592" max="14592" width="8.7109375" style="157" customWidth="1"/>
    <col min="14593" max="14596" width="17.85546875" style="157" customWidth="1"/>
    <col min="14597" max="14597" width="14.140625" style="157" customWidth="1"/>
    <col min="14598" max="14598" width="11.5703125" style="157" customWidth="1"/>
    <col min="14599" max="14599" width="18.140625" style="157" customWidth="1"/>
    <col min="14600" max="14600" width="17.5703125" style="157" customWidth="1"/>
    <col min="14601" max="14601" width="17.7109375" style="157" customWidth="1"/>
    <col min="14602" max="14602" width="17.140625" style="157" customWidth="1"/>
    <col min="14603" max="14603" width="15.7109375" style="157" customWidth="1"/>
    <col min="14604" max="14604" width="15.5703125" style="157" customWidth="1"/>
    <col min="14605" max="14847" width="11.5703125" style="157"/>
    <col min="14848" max="14848" width="8.7109375" style="157" customWidth="1"/>
    <col min="14849" max="14852" width="17.85546875" style="157" customWidth="1"/>
    <col min="14853" max="14853" width="14.140625" style="157" customWidth="1"/>
    <col min="14854" max="14854" width="11.5703125" style="157" customWidth="1"/>
    <col min="14855" max="14855" width="18.140625" style="157" customWidth="1"/>
    <col min="14856" max="14856" width="17.5703125" style="157" customWidth="1"/>
    <col min="14857" max="14857" width="17.7109375" style="157" customWidth="1"/>
    <col min="14858" max="14858" width="17.140625" style="157" customWidth="1"/>
    <col min="14859" max="14859" width="15.7109375" style="157" customWidth="1"/>
    <col min="14860" max="14860" width="15.5703125" style="157" customWidth="1"/>
    <col min="14861" max="15103" width="11.5703125" style="157"/>
    <col min="15104" max="15104" width="8.7109375" style="157" customWidth="1"/>
    <col min="15105" max="15108" width="17.85546875" style="157" customWidth="1"/>
    <col min="15109" max="15109" width="14.140625" style="157" customWidth="1"/>
    <col min="15110" max="15110" width="11.5703125" style="157" customWidth="1"/>
    <col min="15111" max="15111" width="18.140625" style="157" customWidth="1"/>
    <col min="15112" max="15112" width="17.5703125" style="157" customWidth="1"/>
    <col min="15113" max="15113" width="17.7109375" style="157" customWidth="1"/>
    <col min="15114" max="15114" width="17.140625" style="157" customWidth="1"/>
    <col min="15115" max="15115" width="15.7109375" style="157" customWidth="1"/>
    <col min="15116" max="15116" width="15.5703125" style="157" customWidth="1"/>
    <col min="15117" max="15359" width="11.5703125" style="157"/>
    <col min="15360" max="15360" width="8.7109375" style="157" customWidth="1"/>
    <col min="15361" max="15364" width="17.85546875" style="157" customWidth="1"/>
    <col min="15365" max="15365" width="14.140625" style="157" customWidth="1"/>
    <col min="15366" max="15366" width="11.5703125" style="157" customWidth="1"/>
    <col min="15367" max="15367" width="18.140625" style="157" customWidth="1"/>
    <col min="15368" max="15368" width="17.5703125" style="157" customWidth="1"/>
    <col min="15369" max="15369" width="17.7109375" style="157" customWidth="1"/>
    <col min="15370" max="15370" width="17.140625" style="157" customWidth="1"/>
    <col min="15371" max="15371" width="15.7109375" style="157" customWidth="1"/>
    <col min="15372" max="15372" width="15.5703125" style="157" customWidth="1"/>
    <col min="15373" max="15615" width="11.5703125" style="157"/>
    <col min="15616" max="15616" width="8.7109375" style="157" customWidth="1"/>
    <col min="15617" max="15620" width="17.85546875" style="157" customWidth="1"/>
    <col min="15621" max="15621" width="14.140625" style="157" customWidth="1"/>
    <col min="15622" max="15622" width="11.5703125" style="157" customWidth="1"/>
    <col min="15623" max="15623" width="18.140625" style="157" customWidth="1"/>
    <col min="15624" max="15624" width="17.5703125" style="157" customWidth="1"/>
    <col min="15625" max="15625" width="17.7109375" style="157" customWidth="1"/>
    <col min="15626" max="15626" width="17.140625" style="157" customWidth="1"/>
    <col min="15627" max="15627" width="15.7109375" style="157" customWidth="1"/>
    <col min="15628" max="15628" width="15.5703125" style="157" customWidth="1"/>
    <col min="15629" max="15871" width="11.5703125" style="157"/>
    <col min="15872" max="15872" width="8.7109375" style="157" customWidth="1"/>
    <col min="15873" max="15876" width="17.85546875" style="157" customWidth="1"/>
    <col min="15877" max="15877" width="14.140625" style="157" customWidth="1"/>
    <col min="15878" max="15878" width="11.5703125" style="157" customWidth="1"/>
    <col min="15879" max="15879" width="18.140625" style="157" customWidth="1"/>
    <col min="15880" max="15880" width="17.5703125" style="157" customWidth="1"/>
    <col min="15881" max="15881" width="17.7109375" style="157" customWidth="1"/>
    <col min="15882" max="15882" width="17.140625" style="157" customWidth="1"/>
    <col min="15883" max="15883" width="15.7109375" style="157" customWidth="1"/>
    <col min="15884" max="15884" width="15.5703125" style="157" customWidth="1"/>
    <col min="15885" max="16127" width="11.5703125" style="157"/>
    <col min="16128" max="16128" width="8.7109375" style="157" customWidth="1"/>
    <col min="16129" max="16132" width="17.85546875" style="157" customWidth="1"/>
    <col min="16133" max="16133" width="14.140625" style="157" customWidth="1"/>
    <col min="16134" max="16134" width="11.5703125" style="157" customWidth="1"/>
    <col min="16135" max="16135" width="18.140625" style="157" customWidth="1"/>
    <col min="16136" max="16136" width="17.5703125" style="157" customWidth="1"/>
    <col min="16137" max="16137" width="17.7109375" style="157" customWidth="1"/>
    <col min="16138" max="16138" width="17.140625" style="157" customWidth="1"/>
    <col min="16139" max="16139" width="15.7109375" style="157" customWidth="1"/>
    <col min="16140" max="16140" width="15.5703125" style="157" customWidth="1"/>
    <col min="16141" max="16384" width="11.5703125" style="157"/>
  </cols>
  <sheetData>
    <row r="1" spans="1:12" s="156" customFormat="1" ht="34.5" customHeight="1">
      <c r="A1" s="1151"/>
      <c r="B1" s="1151"/>
      <c r="C1" s="1151"/>
      <c r="D1" s="1197" t="s">
        <v>122</v>
      </c>
      <c r="E1" s="1197"/>
      <c r="F1" s="1197"/>
      <c r="G1" s="1197"/>
      <c r="H1" s="1197"/>
    </row>
    <row r="2" spans="1:12" ht="4.5" customHeight="1" thickBot="1">
      <c r="D2" s="41"/>
      <c r="E2" s="41"/>
      <c r="F2" s="41"/>
      <c r="G2" s="41"/>
      <c r="H2" s="41"/>
    </row>
    <row r="3" spans="1:12" ht="28.5" customHeight="1" thickBot="1">
      <c r="D3" s="1198" t="s">
        <v>1</v>
      </c>
      <c r="E3" s="1206" t="s">
        <v>571</v>
      </c>
      <c r="F3" s="1200"/>
      <c r="G3" s="1200"/>
      <c r="H3" s="1201"/>
      <c r="I3" s="160"/>
      <c r="J3" s="1207"/>
      <c r="K3" s="1205"/>
      <c r="L3" s="1205"/>
    </row>
    <row r="4" spans="1:12" s="158" customFormat="1" ht="28.5" customHeight="1" thickBot="1">
      <c r="A4" s="164"/>
      <c r="B4" s="164"/>
      <c r="C4" s="164"/>
      <c r="D4" s="1199"/>
      <c r="E4" s="373" t="s">
        <v>26</v>
      </c>
      <c r="F4" s="49" t="s">
        <v>88</v>
      </c>
      <c r="G4" s="49" t="s">
        <v>123</v>
      </c>
      <c r="H4" s="414" t="s">
        <v>0</v>
      </c>
      <c r="I4" s="161"/>
      <c r="J4" s="1207"/>
      <c r="K4" s="1205"/>
      <c r="L4" s="1205"/>
    </row>
    <row r="5" spans="1:12" ht="20.25" customHeight="1">
      <c r="D5" s="360">
        <v>1</v>
      </c>
      <c r="E5" s="1114">
        <v>1523597.081238748</v>
      </c>
      <c r="F5" s="1115">
        <v>755927.22474067716</v>
      </c>
      <c r="G5" s="1115">
        <v>23294.028204029146</v>
      </c>
      <c r="H5" s="1116">
        <v>2302818.334183454</v>
      </c>
      <c r="I5" s="162"/>
      <c r="J5" s="1123" t="s">
        <v>563</v>
      </c>
      <c r="K5" s="162"/>
      <c r="L5" s="162"/>
    </row>
    <row r="6" spans="1:12" ht="20.25" customHeight="1">
      <c r="D6" s="98">
        <v>2</v>
      </c>
      <c r="E6" s="1117">
        <v>1700315.1510136535</v>
      </c>
      <c r="F6" s="1118">
        <v>864024.61729416624</v>
      </c>
      <c r="G6" s="1118">
        <v>24745.693007860991</v>
      </c>
      <c r="H6" s="1119">
        <v>2589085.4613156808</v>
      </c>
      <c r="I6" s="162"/>
      <c r="J6" s="163"/>
      <c r="K6" s="162"/>
      <c r="L6" s="162"/>
    </row>
    <row r="7" spans="1:12" ht="20.25" customHeight="1">
      <c r="D7" s="98">
        <v>3</v>
      </c>
      <c r="E7" s="1117">
        <v>1854061.9660526102</v>
      </c>
      <c r="F7" s="1118">
        <v>921110.0796396106</v>
      </c>
      <c r="G7" s="1118">
        <v>43686.059045933551</v>
      </c>
      <c r="H7" s="1119">
        <v>2818858.1047381544</v>
      </c>
      <c r="I7" s="162"/>
      <c r="J7" s="163"/>
      <c r="K7" s="162"/>
      <c r="L7" s="162"/>
    </row>
    <row r="8" spans="1:12" ht="20.25" customHeight="1">
      <c r="D8" s="98">
        <v>4</v>
      </c>
      <c r="E8" s="1120">
        <v>1912815.2651806301</v>
      </c>
      <c r="F8" s="1121">
        <v>945261.79093005392</v>
      </c>
      <c r="G8" s="1121">
        <v>62329.938508839361</v>
      </c>
      <c r="H8" s="1122">
        <v>2920406.9946195232</v>
      </c>
      <c r="I8" s="162"/>
      <c r="J8" s="163"/>
      <c r="K8" s="162"/>
      <c r="L8" s="162"/>
    </row>
    <row r="9" spans="1:12" ht="20.25" customHeight="1">
      <c r="A9" s="1152">
        <v>43678</v>
      </c>
      <c r="B9" s="1152" t="s">
        <v>572</v>
      </c>
      <c r="C9" s="1152">
        <v>44013</v>
      </c>
      <c r="D9" s="98">
        <v>5</v>
      </c>
      <c r="E9" s="1129">
        <v>1980000</v>
      </c>
      <c r="F9" s="905">
        <f>'TS-13 R1 FAT 1'!X9</f>
        <v>987517.85328943643</v>
      </c>
      <c r="G9" s="905">
        <f t="shared" ref="G9:G34" si="0">(E9+F9)*1%</f>
        <v>29675.178532894366</v>
      </c>
      <c r="H9" s="911">
        <f t="shared" ref="H9:H34" si="1">SUM(E9:G9)</f>
        <v>2997193.0318223308</v>
      </c>
      <c r="I9" s="162"/>
      <c r="J9" s="1130" t="s">
        <v>564</v>
      </c>
      <c r="K9" s="162"/>
      <c r="L9" s="162"/>
    </row>
    <row r="10" spans="1:12" ht="20.25" customHeight="1">
      <c r="A10" s="1152">
        <f>A9+366</f>
        <v>44044</v>
      </c>
      <c r="B10" s="1152" t="s">
        <v>572</v>
      </c>
      <c r="C10" s="1152">
        <f>C9+366</f>
        <v>44379</v>
      </c>
      <c r="D10" s="98">
        <v>6</v>
      </c>
      <c r="E10" s="946">
        <f>'TS-13 R1 FAT 1'!U10</f>
        <v>2070845.8105409152</v>
      </c>
      <c r="F10" s="905">
        <f>'TS-13 R1 FAT 1'!X10</f>
        <v>1233808.963586611</v>
      </c>
      <c r="G10" s="905">
        <f t="shared" si="0"/>
        <v>33046.547741275266</v>
      </c>
      <c r="H10" s="911">
        <f t="shared" si="1"/>
        <v>3337701.3218688015</v>
      </c>
      <c r="I10" s="162"/>
      <c r="J10" s="163"/>
      <c r="K10" s="162"/>
      <c r="L10" s="162"/>
    </row>
    <row r="11" spans="1:12" ht="20.25" customHeight="1">
      <c r="A11" s="1152">
        <f t="shared" ref="A11:C26" si="2">A10+366</f>
        <v>44410</v>
      </c>
      <c r="B11" s="1152" t="s">
        <v>572</v>
      </c>
      <c r="C11" s="1152">
        <f t="shared" si="2"/>
        <v>44745</v>
      </c>
      <c r="D11" s="98">
        <v>7</v>
      </c>
      <c r="E11" s="946">
        <f>'TS-13 R1 FAT 1'!U11</f>
        <v>2183065.5968572488</v>
      </c>
      <c r="F11" s="905">
        <f>'TS-13 R1 FAT 1'!X11</f>
        <v>1534187.1152716517</v>
      </c>
      <c r="G11" s="905">
        <f t="shared" si="0"/>
        <v>37172.527121289007</v>
      </c>
      <c r="H11" s="911">
        <f t="shared" si="1"/>
        <v>3754425.2392501896</v>
      </c>
      <c r="I11" s="162"/>
      <c r="J11" s="163" t="s">
        <v>576</v>
      </c>
      <c r="K11" s="1175">
        <v>0</v>
      </c>
      <c r="L11" s="162">
        <f>1+K11</f>
        <v>1</v>
      </c>
    </row>
    <row r="12" spans="1:12" ht="20.25" customHeight="1">
      <c r="A12" s="1152">
        <f t="shared" si="2"/>
        <v>44776</v>
      </c>
      <c r="B12" s="1152" t="s">
        <v>572</v>
      </c>
      <c r="C12" s="1152">
        <f t="shared" si="2"/>
        <v>45111</v>
      </c>
      <c r="D12" s="98">
        <v>8</v>
      </c>
      <c r="E12" s="946">
        <f>'TS-13 R1 FAT 1'!U12</f>
        <v>2301330.2946628211</v>
      </c>
      <c r="F12" s="905">
        <f>'TS-13 R1 FAT 1'!X12</f>
        <v>1722652.7906713283</v>
      </c>
      <c r="G12" s="905">
        <f t="shared" si="0"/>
        <v>40239.830853341489</v>
      </c>
      <c r="H12" s="911">
        <f t="shared" si="1"/>
        <v>4064222.9161874908</v>
      </c>
      <c r="I12" s="162"/>
      <c r="J12" s="163"/>
      <c r="K12" s="162"/>
      <c r="L12" s="162"/>
    </row>
    <row r="13" spans="1:12" ht="20.25" customHeight="1">
      <c r="A13" s="1152">
        <f t="shared" si="2"/>
        <v>45142</v>
      </c>
      <c r="B13" s="1152" t="s">
        <v>572</v>
      </c>
      <c r="C13" s="1152">
        <f t="shared" si="2"/>
        <v>45477</v>
      </c>
      <c r="D13" s="98">
        <v>9</v>
      </c>
      <c r="E13" s="946">
        <f>'TS-13 R1 FAT 1'!U13</f>
        <v>2248945.5154108708</v>
      </c>
      <c r="F13" s="905">
        <f>'TS-13 R1 FAT 1'!X13</f>
        <v>1797028.7303120072</v>
      </c>
      <c r="G13" s="905">
        <f t="shared" si="0"/>
        <v>40459.742457228778</v>
      </c>
      <c r="H13" s="911">
        <f t="shared" si="1"/>
        <v>4086433.9881801065</v>
      </c>
      <c r="I13" s="162"/>
      <c r="J13" s="163"/>
      <c r="K13" s="162"/>
      <c r="L13" s="162"/>
    </row>
    <row r="14" spans="1:12" s="1147" customFormat="1" ht="20.25" customHeight="1">
      <c r="A14" s="1168">
        <f t="shared" si="2"/>
        <v>45508</v>
      </c>
      <c r="B14" s="1168" t="s">
        <v>572</v>
      </c>
      <c r="C14" s="1168">
        <f t="shared" si="2"/>
        <v>45843</v>
      </c>
      <c r="D14" s="1169">
        <v>10</v>
      </c>
      <c r="E14" s="1170">
        <f>(0.5*'TS-13 R1 FAT 1'!U15)+(0.5*'TS-13 R1 FAT 1'!U15*L11)</f>
        <v>2325650.2928705099</v>
      </c>
      <c r="F14" s="1171">
        <f>(0.5*'TS-13 R1 FAT 1'!X15)+(0.5*'TS-13 R1 FAT 1'!X15*L11)</f>
        <v>1895835.7137177221</v>
      </c>
      <c r="G14" s="1171">
        <f t="shared" si="0"/>
        <v>42214.86006588232</v>
      </c>
      <c r="H14" s="1172">
        <f t="shared" si="1"/>
        <v>4263700.8666541139</v>
      </c>
      <c r="I14" s="1173"/>
      <c r="J14" s="1174"/>
      <c r="K14" s="1173"/>
      <c r="L14" s="1173"/>
    </row>
    <row r="15" spans="1:12" ht="20.25" customHeight="1">
      <c r="A15" s="1152">
        <f t="shared" si="2"/>
        <v>45874</v>
      </c>
      <c r="B15" s="1152" t="s">
        <v>572</v>
      </c>
      <c r="C15" s="1152">
        <f t="shared" si="2"/>
        <v>46209</v>
      </c>
      <c r="D15" s="98">
        <v>11</v>
      </c>
      <c r="E15" s="946">
        <f>'TS-13 R1 FAT 1'!U17*$L$11</f>
        <v>2325094.0440756301</v>
      </c>
      <c r="F15" s="905">
        <f>'TS-13 R1 FAT 1'!X17*$L$11</f>
        <v>2091084.8271024216</v>
      </c>
      <c r="G15" s="905">
        <f t="shared" si="0"/>
        <v>44161.788711780515</v>
      </c>
      <c r="H15" s="911">
        <f t="shared" si="1"/>
        <v>4460340.6598898321</v>
      </c>
      <c r="I15" s="162"/>
      <c r="J15" s="163"/>
      <c r="K15" s="162"/>
      <c r="L15" s="162"/>
    </row>
    <row r="16" spans="1:12" ht="20.25" customHeight="1">
      <c r="A16" s="1152">
        <f t="shared" si="2"/>
        <v>46240</v>
      </c>
      <c r="B16" s="1152" t="s">
        <v>572</v>
      </c>
      <c r="C16" s="1152">
        <f t="shared" si="2"/>
        <v>46575</v>
      </c>
      <c r="D16" s="98">
        <v>12</v>
      </c>
      <c r="E16" s="946">
        <f>'TS-13 R1 FAT 1'!U18*$L$11</f>
        <v>2328445.9336153842</v>
      </c>
      <c r="F16" s="905">
        <f>'TS-13 R1 FAT 1'!X18*$L$11</f>
        <v>2385128.8489391641</v>
      </c>
      <c r="G16" s="905">
        <f t="shared" si="0"/>
        <v>47135.747825545484</v>
      </c>
      <c r="H16" s="911">
        <f t="shared" si="1"/>
        <v>4760710.5303800935</v>
      </c>
      <c r="I16" s="162"/>
      <c r="J16" s="163"/>
      <c r="K16" s="162"/>
      <c r="L16" s="162"/>
    </row>
    <row r="17" spans="1:12" ht="20.25" customHeight="1">
      <c r="A17" s="1152">
        <f t="shared" si="2"/>
        <v>46606</v>
      </c>
      <c r="B17" s="1152" t="s">
        <v>572</v>
      </c>
      <c r="C17" s="1152">
        <f t="shared" si="2"/>
        <v>46941</v>
      </c>
      <c r="D17" s="98">
        <v>13</v>
      </c>
      <c r="E17" s="946">
        <f>'TS-13 R1 FAT 1'!U19*$L$11</f>
        <v>2331797.8231551368</v>
      </c>
      <c r="F17" s="905">
        <f>'TS-13 R1 FAT 1'!X19*$L$11</f>
        <v>2388562.3357658512</v>
      </c>
      <c r="G17" s="905">
        <f t="shared" si="0"/>
        <v>47203.601589209888</v>
      </c>
      <c r="H17" s="911">
        <f t="shared" si="1"/>
        <v>4767563.7605101988</v>
      </c>
      <c r="I17" s="162"/>
      <c r="J17" s="163"/>
      <c r="K17" s="162"/>
      <c r="L17" s="162"/>
    </row>
    <row r="18" spans="1:12" ht="20.25" customHeight="1">
      <c r="A18" s="1152">
        <f t="shared" si="2"/>
        <v>46972</v>
      </c>
      <c r="B18" s="1152" t="s">
        <v>572</v>
      </c>
      <c r="C18" s="1152">
        <f t="shared" si="2"/>
        <v>47307</v>
      </c>
      <c r="D18" s="98">
        <v>14</v>
      </c>
      <c r="E18" s="946">
        <f>'TS-13 R1 FAT 1'!U20*$L$11</f>
        <v>2335149.7126948903</v>
      </c>
      <c r="F18" s="905">
        <f>'TS-13 R1 FAT 1'!X20*$L$11</f>
        <v>2391995.8225925392</v>
      </c>
      <c r="G18" s="905">
        <f t="shared" si="0"/>
        <v>47271.455352874298</v>
      </c>
      <c r="H18" s="911">
        <f t="shared" si="1"/>
        <v>4774416.9906403041</v>
      </c>
      <c r="I18" s="162"/>
      <c r="J18" s="163"/>
      <c r="K18" s="162"/>
      <c r="L18" s="162"/>
    </row>
    <row r="19" spans="1:12" ht="20.25" customHeight="1">
      <c r="A19" s="1152">
        <f t="shared" si="2"/>
        <v>47338</v>
      </c>
      <c r="B19" s="1152" t="s">
        <v>572</v>
      </c>
      <c r="C19" s="1152">
        <f t="shared" si="2"/>
        <v>47673</v>
      </c>
      <c r="D19" s="98">
        <v>15</v>
      </c>
      <c r="E19" s="946">
        <f>'TS-13 R1 FAT 1'!U21*$L$11</f>
        <v>2338501.6022346443</v>
      </c>
      <c r="F19" s="905">
        <f>'TS-13 R1 FAT 1'!X21*$L$11</f>
        <v>2395429.3094192278</v>
      </c>
      <c r="G19" s="905">
        <f t="shared" si="0"/>
        <v>47339.309116538723</v>
      </c>
      <c r="H19" s="911">
        <f t="shared" si="1"/>
        <v>4781270.2207704112</v>
      </c>
      <c r="I19" s="162"/>
      <c r="J19" s="163"/>
      <c r="K19" s="162"/>
      <c r="L19" s="162"/>
    </row>
    <row r="20" spans="1:12" ht="20.25" customHeight="1">
      <c r="A20" s="1152">
        <f t="shared" si="2"/>
        <v>47704</v>
      </c>
      <c r="B20" s="1152" t="s">
        <v>572</v>
      </c>
      <c r="C20" s="1152">
        <f t="shared" si="2"/>
        <v>48039</v>
      </c>
      <c r="D20" s="98">
        <v>16</v>
      </c>
      <c r="E20" s="946">
        <f>'TS-13 R1 FAT 1'!U22*$L$11</f>
        <v>2341574.167646084</v>
      </c>
      <c r="F20" s="905">
        <f>'TS-13 R1 FAT 1'!X22*$L$11</f>
        <v>2398576.6723436909</v>
      </c>
      <c r="G20" s="905">
        <f t="shared" si="0"/>
        <v>47401.50839989775</v>
      </c>
      <c r="H20" s="911">
        <f t="shared" si="1"/>
        <v>4787552.348389673</v>
      </c>
      <c r="I20" s="162"/>
      <c r="J20" s="163"/>
      <c r="K20" s="162"/>
      <c r="L20" s="162"/>
    </row>
    <row r="21" spans="1:12" ht="20.25" customHeight="1">
      <c r="A21" s="1152">
        <f t="shared" si="2"/>
        <v>48070</v>
      </c>
      <c r="B21" s="1152" t="s">
        <v>572</v>
      </c>
      <c r="C21" s="1152">
        <f t="shared" si="2"/>
        <v>48405</v>
      </c>
      <c r="D21" s="98">
        <v>17</v>
      </c>
      <c r="E21" s="946">
        <f>'TS-13 R1 FAT 1'!U23*$L$11</f>
        <v>2344367.4089292125</v>
      </c>
      <c r="F21" s="905">
        <f>'TS-13 R1 FAT 1'!X23*$L$11</f>
        <v>2401437.9113659309</v>
      </c>
      <c r="G21" s="905">
        <f t="shared" si="0"/>
        <v>47458.053202951436</v>
      </c>
      <c r="H21" s="911">
        <f t="shared" si="1"/>
        <v>4793263.3734980952</v>
      </c>
      <c r="I21" s="162"/>
      <c r="J21" s="163"/>
      <c r="K21" s="162"/>
      <c r="L21" s="162"/>
    </row>
    <row r="22" spans="1:12" ht="20.25" customHeight="1">
      <c r="A22" s="1152">
        <f t="shared" si="2"/>
        <v>48436</v>
      </c>
      <c r="B22" s="1152" t="s">
        <v>572</v>
      </c>
      <c r="C22" s="1152">
        <f t="shared" si="2"/>
        <v>48771</v>
      </c>
      <c r="D22" s="98">
        <v>18</v>
      </c>
      <c r="E22" s="946">
        <f>'TS-13 R1 FAT 1'!U24*$L$11</f>
        <v>2347160.6502123401</v>
      </c>
      <c r="F22" s="905">
        <f>'TS-13 R1 FAT 1'!X24*$L$11</f>
        <v>2404299.1503881705</v>
      </c>
      <c r="G22" s="905">
        <f t="shared" si="0"/>
        <v>47514.598006005101</v>
      </c>
      <c r="H22" s="911">
        <f t="shared" si="1"/>
        <v>4798974.3986065155</v>
      </c>
      <c r="I22" s="162"/>
      <c r="J22" s="163"/>
      <c r="K22" s="162"/>
      <c r="L22" s="162"/>
    </row>
    <row r="23" spans="1:12" s="158" customFormat="1" ht="20.25" customHeight="1">
      <c r="A23" s="1152">
        <f t="shared" si="2"/>
        <v>48802</v>
      </c>
      <c r="B23" s="1152" t="s">
        <v>572</v>
      </c>
      <c r="C23" s="1152">
        <f t="shared" si="2"/>
        <v>49137</v>
      </c>
      <c r="D23" s="98">
        <v>19</v>
      </c>
      <c r="E23" s="946">
        <f>'TS-13 R1 FAT 1'!U25*$L$11</f>
        <v>2349953.8914954672</v>
      </c>
      <c r="F23" s="905">
        <f>'TS-13 R1 FAT 1'!X25*$L$11</f>
        <v>2407160.3894104101</v>
      </c>
      <c r="G23" s="905">
        <f t="shared" si="0"/>
        <v>47571.142809058772</v>
      </c>
      <c r="H23" s="911">
        <f t="shared" si="1"/>
        <v>4804685.4237149358</v>
      </c>
      <c r="I23" s="162"/>
      <c r="J23" s="163"/>
      <c r="K23" s="162"/>
      <c r="L23" s="162"/>
    </row>
    <row r="24" spans="1:12" ht="20.25" customHeight="1">
      <c r="A24" s="1152">
        <f t="shared" si="2"/>
        <v>49168</v>
      </c>
      <c r="B24" s="1152" t="s">
        <v>572</v>
      </c>
      <c r="C24" s="1152">
        <f t="shared" si="2"/>
        <v>49503</v>
      </c>
      <c r="D24" s="98">
        <v>20</v>
      </c>
      <c r="E24" s="946">
        <f>'TS-13 R1 FAT 1'!U26*$L$11</f>
        <v>2352467.8086502831</v>
      </c>
      <c r="F24" s="905">
        <f>'TS-13 R1 FAT 1'!X26*$L$11</f>
        <v>2409735.5045304266</v>
      </c>
      <c r="G24" s="905">
        <f t="shared" si="0"/>
        <v>47622.033131807097</v>
      </c>
      <c r="H24" s="911">
        <f t="shared" si="1"/>
        <v>4809825.3463125164</v>
      </c>
      <c r="I24" s="162"/>
      <c r="J24" s="163"/>
      <c r="K24" s="162"/>
      <c r="L24" s="162"/>
    </row>
    <row r="25" spans="1:12" ht="20.25" customHeight="1">
      <c r="A25" s="1152">
        <f t="shared" si="2"/>
        <v>49534</v>
      </c>
      <c r="B25" s="1152" t="s">
        <v>572</v>
      </c>
      <c r="C25" s="1152">
        <f t="shared" si="2"/>
        <v>49869</v>
      </c>
      <c r="D25" s="98">
        <v>21</v>
      </c>
      <c r="E25" s="946">
        <f>'TS-13 R1 FAT 1'!U27*$L$11</f>
        <v>2355540.3740617246</v>
      </c>
      <c r="F25" s="905">
        <f>'TS-13 R1 FAT 1'!X27*$L$11</f>
        <v>2412882.8674548911</v>
      </c>
      <c r="G25" s="905">
        <f t="shared" si="0"/>
        <v>47684.23241516616</v>
      </c>
      <c r="H25" s="911">
        <f t="shared" si="1"/>
        <v>4816107.4739317819</v>
      </c>
      <c r="I25" s="162"/>
      <c r="J25" s="163"/>
      <c r="K25" s="162"/>
      <c r="L25" s="162"/>
    </row>
    <row r="26" spans="1:12" ht="20.25" customHeight="1">
      <c r="A26" s="1152">
        <f t="shared" si="2"/>
        <v>49900</v>
      </c>
      <c r="B26" s="1152" t="s">
        <v>572</v>
      </c>
      <c r="C26" s="1152">
        <f t="shared" si="2"/>
        <v>50235</v>
      </c>
      <c r="D26" s="98">
        <v>22</v>
      </c>
      <c r="E26" s="946">
        <f>'TS-13 R1 FAT 1'!U28*$L$11</f>
        <v>2358612.9394731643</v>
      </c>
      <c r="F26" s="905">
        <f>'TS-13 R1 FAT 1'!X28*$L$11</f>
        <v>2416030.2303793547</v>
      </c>
      <c r="G26" s="905">
        <f t="shared" si="0"/>
        <v>47746.431698525193</v>
      </c>
      <c r="H26" s="911">
        <f t="shared" si="1"/>
        <v>4822389.6015510447</v>
      </c>
      <c r="I26" s="162"/>
      <c r="J26" s="163"/>
      <c r="K26" s="162"/>
      <c r="L26" s="162"/>
    </row>
    <row r="27" spans="1:12" s="158" customFormat="1" ht="20.25" customHeight="1">
      <c r="A27" s="1152">
        <f t="shared" ref="A27:C34" si="3">A26+366</f>
        <v>50266</v>
      </c>
      <c r="B27" s="1152" t="s">
        <v>572</v>
      </c>
      <c r="C27" s="1152">
        <f t="shared" si="3"/>
        <v>50601</v>
      </c>
      <c r="D27" s="98">
        <v>23</v>
      </c>
      <c r="E27" s="946">
        <f>'TS-13 R1 FAT 1'!U29*$L$11</f>
        <v>2360847.5324996668</v>
      </c>
      <c r="F27" s="905">
        <f>'TS-13 R1 FAT 1'!X29*$L$11</f>
        <v>2418319.2215971467</v>
      </c>
      <c r="G27" s="905">
        <f t="shared" si="0"/>
        <v>47791.667540968134</v>
      </c>
      <c r="H27" s="911">
        <f t="shared" si="1"/>
        <v>4826958.4216377819</v>
      </c>
      <c r="I27" s="162"/>
      <c r="J27" s="163"/>
      <c r="K27" s="162"/>
      <c r="L27" s="162"/>
    </row>
    <row r="28" spans="1:12" s="158" customFormat="1" ht="20.25" customHeight="1">
      <c r="A28" s="1152">
        <f t="shared" si="3"/>
        <v>50632</v>
      </c>
      <c r="B28" s="1152" t="s">
        <v>572</v>
      </c>
      <c r="C28" s="1152">
        <f t="shared" si="3"/>
        <v>50967</v>
      </c>
      <c r="D28" s="98">
        <v>24</v>
      </c>
      <c r="E28" s="946">
        <f>'TS-13 R1 FAT 1'!U30*$L$11</f>
        <v>2363082.1255261693</v>
      </c>
      <c r="F28" s="905">
        <f>'TS-13 R1 FAT 1'!X30*$L$11</f>
        <v>2420608.2128149383</v>
      </c>
      <c r="G28" s="905">
        <f t="shared" si="0"/>
        <v>47836.903383411074</v>
      </c>
      <c r="H28" s="911">
        <f t="shared" si="1"/>
        <v>4831527.2417245191</v>
      </c>
      <c r="I28" s="162"/>
      <c r="J28" s="163"/>
      <c r="K28" s="162"/>
      <c r="L28" s="162"/>
    </row>
    <row r="29" spans="1:12" ht="20.25" customHeight="1">
      <c r="A29" s="1152">
        <f t="shared" si="3"/>
        <v>50998</v>
      </c>
      <c r="B29" s="1152" t="s">
        <v>572</v>
      </c>
      <c r="C29" s="1152">
        <f t="shared" si="3"/>
        <v>51333</v>
      </c>
      <c r="D29" s="98">
        <v>25</v>
      </c>
      <c r="E29" s="946">
        <f>'TS-13 R1 FAT 1'!U31*$L$11</f>
        <v>2365316.7185526714</v>
      </c>
      <c r="F29" s="905">
        <f>'TS-13 R1 FAT 1'!X31*$L$11</f>
        <v>2422897.2040327298</v>
      </c>
      <c r="G29" s="905">
        <f t="shared" si="0"/>
        <v>47882.139225854015</v>
      </c>
      <c r="H29" s="911">
        <f t="shared" si="1"/>
        <v>4836096.0618112553</v>
      </c>
      <c r="I29" s="162"/>
      <c r="J29" s="163"/>
      <c r="K29" s="162"/>
      <c r="L29" s="162"/>
    </row>
    <row r="30" spans="1:12" ht="20.25" customHeight="1">
      <c r="A30" s="1152">
        <f t="shared" si="3"/>
        <v>51364</v>
      </c>
      <c r="B30" s="1152" t="s">
        <v>572</v>
      </c>
      <c r="C30" s="1152">
        <f t="shared" si="3"/>
        <v>51699</v>
      </c>
      <c r="D30" s="98">
        <v>26</v>
      </c>
      <c r="E30" s="946">
        <f>'TS-13 R1 FAT 1'!U32*$L$11</f>
        <v>2368109.9598357999</v>
      </c>
      <c r="F30" s="905">
        <f>'TS-13 R1 FAT 1'!X32*$L$11</f>
        <v>2425758.4430549708</v>
      </c>
      <c r="G30" s="905">
        <f t="shared" si="0"/>
        <v>47938.684028907708</v>
      </c>
      <c r="H30" s="911">
        <f t="shared" si="1"/>
        <v>4841807.0869196784</v>
      </c>
      <c r="I30" s="162"/>
      <c r="J30" s="163"/>
      <c r="K30" s="162"/>
      <c r="L30" s="162"/>
    </row>
    <row r="31" spans="1:12" ht="20.25" customHeight="1">
      <c r="A31" s="1152">
        <f t="shared" si="3"/>
        <v>51730</v>
      </c>
      <c r="B31" s="1152" t="s">
        <v>572</v>
      </c>
      <c r="C31" s="1152">
        <f t="shared" si="3"/>
        <v>52065</v>
      </c>
      <c r="D31" s="98">
        <v>27</v>
      </c>
      <c r="E31" s="946">
        <f>'TS-13 R1 FAT 1'!U33*$L$11</f>
        <v>2370903.201118927</v>
      </c>
      <c r="F31" s="905">
        <f>'TS-13 R1 FAT 1'!X33*$L$11</f>
        <v>2428619.6820772095</v>
      </c>
      <c r="G31" s="905">
        <f t="shared" si="0"/>
        <v>47995.228831961358</v>
      </c>
      <c r="H31" s="911">
        <f t="shared" si="1"/>
        <v>4847518.1120280977</v>
      </c>
      <c r="I31" s="162"/>
      <c r="J31" s="163"/>
      <c r="K31" s="162"/>
      <c r="L31" s="162"/>
    </row>
    <row r="32" spans="1:12" ht="20.25" customHeight="1">
      <c r="A32" s="1152">
        <f t="shared" si="3"/>
        <v>52096</v>
      </c>
      <c r="B32" s="1152" t="s">
        <v>572</v>
      </c>
      <c r="C32" s="1152">
        <f t="shared" si="3"/>
        <v>52431</v>
      </c>
      <c r="D32" s="98">
        <v>28</v>
      </c>
      <c r="E32" s="946">
        <f>'TS-13 R1 FAT 1'!U34*$L$11</f>
        <v>2373417.118273742</v>
      </c>
      <c r="F32" s="905">
        <f>'TS-13 R1 FAT 1'!X34*$L$11</f>
        <v>2431194.7971972255</v>
      </c>
      <c r="G32" s="905">
        <f t="shared" si="0"/>
        <v>48046.119154709675</v>
      </c>
      <c r="H32" s="911">
        <f t="shared" si="1"/>
        <v>4852658.0346256765</v>
      </c>
      <c r="I32" s="162"/>
      <c r="J32" s="163"/>
      <c r="K32" s="162"/>
      <c r="L32" s="162"/>
    </row>
    <row r="33" spans="1:12" ht="20.25" customHeight="1">
      <c r="A33" s="1152">
        <f t="shared" si="3"/>
        <v>52462</v>
      </c>
      <c r="B33" s="1152" t="s">
        <v>572</v>
      </c>
      <c r="C33" s="1152">
        <f t="shared" si="3"/>
        <v>52797</v>
      </c>
      <c r="D33" s="98">
        <v>29</v>
      </c>
      <c r="E33" s="946">
        <f>'TS-13 R1 FAT 1'!U35*$L$11</f>
        <v>2376210.3595568701</v>
      </c>
      <c r="F33" s="905">
        <f>'TS-13 R1 FAT 1'!X35*$L$11</f>
        <v>2434056.036219466</v>
      </c>
      <c r="G33" s="905">
        <f t="shared" si="0"/>
        <v>48102.663957763361</v>
      </c>
      <c r="H33" s="911">
        <f t="shared" si="1"/>
        <v>4858369.0597340995</v>
      </c>
      <c r="I33" s="162"/>
      <c r="J33" s="163"/>
      <c r="K33" s="162"/>
      <c r="L33" s="162"/>
    </row>
    <row r="34" spans="1:12" ht="20.25" customHeight="1" thickBot="1">
      <c r="A34" s="1152">
        <f t="shared" si="3"/>
        <v>52828</v>
      </c>
      <c r="B34" s="1152" t="s">
        <v>572</v>
      </c>
      <c r="C34" s="1152">
        <f t="shared" si="3"/>
        <v>53163</v>
      </c>
      <c r="D34" s="100">
        <v>30</v>
      </c>
      <c r="E34" s="946">
        <f>'TS-13 R1 FAT 1'!U36*$L$11</f>
        <v>2378165.6284550596</v>
      </c>
      <c r="F34" s="905">
        <f>'TS-13 R1 FAT 1'!X36*$L$11</f>
        <v>2436058.903535034</v>
      </c>
      <c r="G34" s="905">
        <f t="shared" si="0"/>
        <v>48142.24531990094</v>
      </c>
      <c r="H34" s="911">
        <f t="shared" si="1"/>
        <v>4862366.7773099951</v>
      </c>
      <c r="I34" s="162"/>
      <c r="J34" s="163"/>
      <c r="K34" s="162"/>
      <c r="L34" s="162"/>
    </row>
    <row r="35" spans="1:12" ht="20.25" customHeight="1" thickBot="1">
      <c r="D35" s="449" t="s">
        <v>121</v>
      </c>
      <c r="E35" s="947">
        <f>SUM(E5:E34)</f>
        <v>67165345.973890871</v>
      </c>
      <c r="F35" s="945">
        <f>SUM(F5:F34)</f>
        <v>60577191.249674059</v>
      </c>
      <c r="G35" s="945">
        <f>SUM(G5:G34)</f>
        <v>1326709.959241411</v>
      </c>
      <c r="H35" s="948">
        <f>SUM(H5:H34)</f>
        <v>129069247.18280636</v>
      </c>
      <c r="I35" s="162"/>
      <c r="J35" s="164"/>
      <c r="K35" s="162"/>
      <c r="L35" s="162"/>
    </row>
  </sheetData>
  <mergeCells count="6">
    <mergeCell ref="K3:K4"/>
    <mergeCell ref="L3:L4"/>
    <mergeCell ref="D1:H1"/>
    <mergeCell ref="D3:D4"/>
    <mergeCell ref="E3:H3"/>
    <mergeCell ref="J3:J4"/>
  </mergeCells>
  <printOptions horizontalCentered="1"/>
  <pageMargins left="0.98425196850393704" right="0.59055118110236227" top="1.9685039370078741" bottom="1.0629921259842521" header="0.39370078740157483" footer="0.39370078740157483"/>
  <pageSetup paperSize="9" scale="82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55">
    <tabColor rgb="FF7030A0"/>
  </sheetPr>
  <dimension ref="B1:K35"/>
  <sheetViews>
    <sheetView showGridLines="0" workbookViewId="0">
      <selection activeCell="B20" sqref="B20"/>
    </sheetView>
  </sheetViews>
  <sheetFormatPr defaultColWidth="11.5703125" defaultRowHeight="12.75"/>
  <cols>
    <col min="1" max="1" width="11.5703125" style="157"/>
    <col min="2" max="2" width="9.28515625" style="157" customWidth="1"/>
    <col min="3" max="5" width="20.28515625" style="157" customWidth="1"/>
    <col min="6" max="6" width="19.5703125" style="157" customWidth="1"/>
    <col min="7" max="7" width="2.7109375" style="157" customWidth="1"/>
    <col min="8" max="257" width="11.5703125" style="157"/>
    <col min="258" max="258" width="9.28515625" style="157" customWidth="1"/>
    <col min="259" max="261" width="20.28515625" style="157" customWidth="1"/>
    <col min="262" max="262" width="19.5703125" style="157" customWidth="1"/>
    <col min="263" max="513" width="11.5703125" style="157"/>
    <col min="514" max="514" width="9.28515625" style="157" customWidth="1"/>
    <col min="515" max="517" width="20.28515625" style="157" customWidth="1"/>
    <col min="518" max="518" width="19.5703125" style="157" customWidth="1"/>
    <col min="519" max="769" width="11.5703125" style="157"/>
    <col min="770" max="770" width="9.28515625" style="157" customWidth="1"/>
    <col min="771" max="773" width="20.28515625" style="157" customWidth="1"/>
    <col min="774" max="774" width="19.5703125" style="157" customWidth="1"/>
    <col min="775" max="1025" width="11.5703125" style="157"/>
    <col min="1026" max="1026" width="9.28515625" style="157" customWidth="1"/>
    <col min="1027" max="1029" width="20.28515625" style="157" customWidth="1"/>
    <col min="1030" max="1030" width="19.5703125" style="157" customWidth="1"/>
    <col min="1031" max="1281" width="11.5703125" style="157"/>
    <col min="1282" max="1282" width="9.28515625" style="157" customWidth="1"/>
    <col min="1283" max="1285" width="20.28515625" style="157" customWidth="1"/>
    <col min="1286" max="1286" width="19.5703125" style="157" customWidth="1"/>
    <col min="1287" max="1537" width="11.5703125" style="157"/>
    <col min="1538" max="1538" width="9.28515625" style="157" customWidth="1"/>
    <col min="1539" max="1541" width="20.28515625" style="157" customWidth="1"/>
    <col min="1542" max="1542" width="19.5703125" style="157" customWidth="1"/>
    <col min="1543" max="1793" width="11.5703125" style="157"/>
    <col min="1794" max="1794" width="9.28515625" style="157" customWidth="1"/>
    <col min="1795" max="1797" width="20.28515625" style="157" customWidth="1"/>
    <col min="1798" max="1798" width="19.5703125" style="157" customWidth="1"/>
    <col min="1799" max="2049" width="11.5703125" style="157"/>
    <col min="2050" max="2050" width="9.28515625" style="157" customWidth="1"/>
    <col min="2051" max="2053" width="20.28515625" style="157" customWidth="1"/>
    <col min="2054" max="2054" width="19.5703125" style="157" customWidth="1"/>
    <col min="2055" max="2305" width="11.5703125" style="157"/>
    <col min="2306" max="2306" width="9.28515625" style="157" customWidth="1"/>
    <col min="2307" max="2309" width="20.28515625" style="157" customWidth="1"/>
    <col min="2310" max="2310" width="19.5703125" style="157" customWidth="1"/>
    <col min="2311" max="2561" width="11.5703125" style="157"/>
    <col min="2562" max="2562" width="9.28515625" style="157" customWidth="1"/>
    <col min="2563" max="2565" width="20.28515625" style="157" customWidth="1"/>
    <col min="2566" max="2566" width="19.5703125" style="157" customWidth="1"/>
    <col min="2567" max="2817" width="11.5703125" style="157"/>
    <col min="2818" max="2818" width="9.28515625" style="157" customWidth="1"/>
    <col min="2819" max="2821" width="20.28515625" style="157" customWidth="1"/>
    <col min="2822" max="2822" width="19.5703125" style="157" customWidth="1"/>
    <col min="2823" max="3073" width="11.5703125" style="157"/>
    <col min="3074" max="3074" width="9.28515625" style="157" customWidth="1"/>
    <col min="3075" max="3077" width="20.28515625" style="157" customWidth="1"/>
    <col min="3078" max="3078" width="19.5703125" style="157" customWidth="1"/>
    <col min="3079" max="3329" width="11.5703125" style="157"/>
    <col min="3330" max="3330" width="9.28515625" style="157" customWidth="1"/>
    <col min="3331" max="3333" width="20.28515625" style="157" customWidth="1"/>
    <col min="3334" max="3334" width="19.5703125" style="157" customWidth="1"/>
    <col min="3335" max="3585" width="11.5703125" style="157"/>
    <col min="3586" max="3586" width="9.28515625" style="157" customWidth="1"/>
    <col min="3587" max="3589" width="20.28515625" style="157" customWidth="1"/>
    <col min="3590" max="3590" width="19.5703125" style="157" customWidth="1"/>
    <col min="3591" max="3841" width="11.5703125" style="157"/>
    <col min="3842" max="3842" width="9.28515625" style="157" customWidth="1"/>
    <col min="3843" max="3845" width="20.28515625" style="157" customWidth="1"/>
    <col min="3846" max="3846" width="19.5703125" style="157" customWidth="1"/>
    <col min="3847" max="4097" width="11.5703125" style="157"/>
    <col min="4098" max="4098" width="9.28515625" style="157" customWidth="1"/>
    <col min="4099" max="4101" width="20.28515625" style="157" customWidth="1"/>
    <col min="4102" max="4102" width="19.5703125" style="157" customWidth="1"/>
    <col min="4103" max="4353" width="11.5703125" style="157"/>
    <col min="4354" max="4354" width="9.28515625" style="157" customWidth="1"/>
    <col min="4355" max="4357" width="20.28515625" style="157" customWidth="1"/>
    <col min="4358" max="4358" width="19.5703125" style="157" customWidth="1"/>
    <col min="4359" max="4609" width="11.5703125" style="157"/>
    <col min="4610" max="4610" width="9.28515625" style="157" customWidth="1"/>
    <col min="4611" max="4613" width="20.28515625" style="157" customWidth="1"/>
    <col min="4614" max="4614" width="19.5703125" style="157" customWidth="1"/>
    <col min="4615" max="4865" width="11.5703125" style="157"/>
    <col min="4866" max="4866" width="9.28515625" style="157" customWidth="1"/>
    <col min="4867" max="4869" width="20.28515625" style="157" customWidth="1"/>
    <col min="4870" max="4870" width="19.5703125" style="157" customWidth="1"/>
    <col min="4871" max="5121" width="11.5703125" style="157"/>
    <col min="5122" max="5122" width="9.28515625" style="157" customWidth="1"/>
    <col min="5123" max="5125" width="20.28515625" style="157" customWidth="1"/>
    <col min="5126" max="5126" width="19.5703125" style="157" customWidth="1"/>
    <col min="5127" max="5377" width="11.5703125" style="157"/>
    <col min="5378" max="5378" width="9.28515625" style="157" customWidth="1"/>
    <col min="5379" max="5381" width="20.28515625" style="157" customWidth="1"/>
    <col min="5382" max="5382" width="19.5703125" style="157" customWidth="1"/>
    <col min="5383" max="5633" width="11.5703125" style="157"/>
    <col min="5634" max="5634" width="9.28515625" style="157" customWidth="1"/>
    <col min="5635" max="5637" width="20.28515625" style="157" customWidth="1"/>
    <col min="5638" max="5638" width="19.5703125" style="157" customWidth="1"/>
    <col min="5639" max="5889" width="11.5703125" style="157"/>
    <col min="5890" max="5890" width="9.28515625" style="157" customWidth="1"/>
    <col min="5891" max="5893" width="20.28515625" style="157" customWidth="1"/>
    <col min="5894" max="5894" width="19.5703125" style="157" customWidth="1"/>
    <col min="5895" max="6145" width="11.5703125" style="157"/>
    <col min="6146" max="6146" width="9.28515625" style="157" customWidth="1"/>
    <col min="6147" max="6149" width="20.28515625" style="157" customWidth="1"/>
    <col min="6150" max="6150" width="19.5703125" style="157" customWidth="1"/>
    <col min="6151" max="6401" width="11.5703125" style="157"/>
    <col min="6402" max="6402" width="9.28515625" style="157" customWidth="1"/>
    <col min="6403" max="6405" width="20.28515625" style="157" customWidth="1"/>
    <col min="6406" max="6406" width="19.5703125" style="157" customWidth="1"/>
    <col min="6407" max="6657" width="11.5703125" style="157"/>
    <col min="6658" max="6658" width="9.28515625" style="157" customWidth="1"/>
    <col min="6659" max="6661" width="20.28515625" style="157" customWidth="1"/>
    <col min="6662" max="6662" width="19.5703125" style="157" customWidth="1"/>
    <col min="6663" max="6913" width="11.5703125" style="157"/>
    <col min="6914" max="6914" width="9.28515625" style="157" customWidth="1"/>
    <col min="6915" max="6917" width="20.28515625" style="157" customWidth="1"/>
    <col min="6918" max="6918" width="19.5703125" style="157" customWidth="1"/>
    <col min="6919" max="7169" width="11.5703125" style="157"/>
    <col min="7170" max="7170" width="9.28515625" style="157" customWidth="1"/>
    <col min="7171" max="7173" width="20.28515625" style="157" customWidth="1"/>
    <col min="7174" max="7174" width="19.5703125" style="157" customWidth="1"/>
    <col min="7175" max="7425" width="11.5703125" style="157"/>
    <col min="7426" max="7426" width="9.28515625" style="157" customWidth="1"/>
    <col min="7427" max="7429" width="20.28515625" style="157" customWidth="1"/>
    <col min="7430" max="7430" width="19.5703125" style="157" customWidth="1"/>
    <col min="7431" max="7681" width="11.5703125" style="157"/>
    <col min="7682" max="7682" width="9.28515625" style="157" customWidth="1"/>
    <col min="7683" max="7685" width="20.28515625" style="157" customWidth="1"/>
    <col min="7686" max="7686" width="19.5703125" style="157" customWidth="1"/>
    <col min="7687" max="7937" width="11.5703125" style="157"/>
    <col min="7938" max="7938" width="9.28515625" style="157" customWidth="1"/>
    <col min="7939" max="7941" width="20.28515625" style="157" customWidth="1"/>
    <col min="7942" max="7942" width="19.5703125" style="157" customWidth="1"/>
    <col min="7943" max="8193" width="11.5703125" style="157"/>
    <col min="8194" max="8194" width="9.28515625" style="157" customWidth="1"/>
    <col min="8195" max="8197" width="20.28515625" style="157" customWidth="1"/>
    <col min="8198" max="8198" width="19.5703125" style="157" customWidth="1"/>
    <col min="8199" max="8449" width="11.5703125" style="157"/>
    <col min="8450" max="8450" width="9.28515625" style="157" customWidth="1"/>
    <col min="8451" max="8453" width="20.28515625" style="157" customWidth="1"/>
    <col min="8454" max="8454" width="19.5703125" style="157" customWidth="1"/>
    <col min="8455" max="8705" width="11.5703125" style="157"/>
    <col min="8706" max="8706" width="9.28515625" style="157" customWidth="1"/>
    <col min="8707" max="8709" width="20.28515625" style="157" customWidth="1"/>
    <col min="8710" max="8710" width="19.5703125" style="157" customWidth="1"/>
    <col min="8711" max="8961" width="11.5703125" style="157"/>
    <col min="8962" max="8962" width="9.28515625" style="157" customWidth="1"/>
    <col min="8963" max="8965" width="20.28515625" style="157" customWidth="1"/>
    <col min="8966" max="8966" width="19.5703125" style="157" customWidth="1"/>
    <col min="8967" max="9217" width="11.5703125" style="157"/>
    <col min="9218" max="9218" width="9.28515625" style="157" customWidth="1"/>
    <col min="9219" max="9221" width="20.28515625" style="157" customWidth="1"/>
    <col min="9222" max="9222" width="19.5703125" style="157" customWidth="1"/>
    <col min="9223" max="9473" width="11.5703125" style="157"/>
    <col min="9474" max="9474" width="9.28515625" style="157" customWidth="1"/>
    <col min="9475" max="9477" width="20.28515625" style="157" customWidth="1"/>
    <col min="9478" max="9478" width="19.5703125" style="157" customWidth="1"/>
    <col min="9479" max="9729" width="11.5703125" style="157"/>
    <col min="9730" max="9730" width="9.28515625" style="157" customWidth="1"/>
    <col min="9731" max="9733" width="20.28515625" style="157" customWidth="1"/>
    <col min="9734" max="9734" width="19.5703125" style="157" customWidth="1"/>
    <col min="9735" max="9985" width="11.5703125" style="157"/>
    <col min="9986" max="9986" width="9.28515625" style="157" customWidth="1"/>
    <col min="9987" max="9989" width="20.28515625" style="157" customWidth="1"/>
    <col min="9990" max="9990" width="19.5703125" style="157" customWidth="1"/>
    <col min="9991" max="10241" width="11.5703125" style="157"/>
    <col min="10242" max="10242" width="9.28515625" style="157" customWidth="1"/>
    <col min="10243" max="10245" width="20.28515625" style="157" customWidth="1"/>
    <col min="10246" max="10246" width="19.5703125" style="157" customWidth="1"/>
    <col min="10247" max="10497" width="11.5703125" style="157"/>
    <col min="10498" max="10498" width="9.28515625" style="157" customWidth="1"/>
    <col min="10499" max="10501" width="20.28515625" style="157" customWidth="1"/>
    <col min="10502" max="10502" width="19.5703125" style="157" customWidth="1"/>
    <col min="10503" max="10753" width="11.5703125" style="157"/>
    <col min="10754" max="10754" width="9.28515625" style="157" customWidth="1"/>
    <col min="10755" max="10757" width="20.28515625" style="157" customWidth="1"/>
    <col min="10758" max="10758" width="19.5703125" style="157" customWidth="1"/>
    <col min="10759" max="11009" width="11.5703125" style="157"/>
    <col min="11010" max="11010" width="9.28515625" style="157" customWidth="1"/>
    <col min="11011" max="11013" width="20.28515625" style="157" customWidth="1"/>
    <col min="11014" max="11014" width="19.5703125" style="157" customWidth="1"/>
    <col min="11015" max="11265" width="11.5703125" style="157"/>
    <col min="11266" max="11266" width="9.28515625" style="157" customWidth="1"/>
    <col min="11267" max="11269" width="20.28515625" style="157" customWidth="1"/>
    <col min="11270" max="11270" width="19.5703125" style="157" customWidth="1"/>
    <col min="11271" max="11521" width="11.5703125" style="157"/>
    <col min="11522" max="11522" width="9.28515625" style="157" customWidth="1"/>
    <col min="11523" max="11525" width="20.28515625" style="157" customWidth="1"/>
    <col min="11526" max="11526" width="19.5703125" style="157" customWidth="1"/>
    <col min="11527" max="11777" width="11.5703125" style="157"/>
    <col min="11778" max="11778" width="9.28515625" style="157" customWidth="1"/>
    <col min="11779" max="11781" width="20.28515625" style="157" customWidth="1"/>
    <col min="11782" max="11782" width="19.5703125" style="157" customWidth="1"/>
    <col min="11783" max="12033" width="11.5703125" style="157"/>
    <col min="12034" max="12034" width="9.28515625" style="157" customWidth="1"/>
    <col min="12035" max="12037" width="20.28515625" style="157" customWidth="1"/>
    <col min="12038" max="12038" width="19.5703125" style="157" customWidth="1"/>
    <col min="12039" max="12289" width="11.5703125" style="157"/>
    <col min="12290" max="12290" width="9.28515625" style="157" customWidth="1"/>
    <col min="12291" max="12293" width="20.28515625" style="157" customWidth="1"/>
    <col min="12294" max="12294" width="19.5703125" style="157" customWidth="1"/>
    <col min="12295" max="12545" width="11.5703125" style="157"/>
    <col min="12546" max="12546" width="9.28515625" style="157" customWidth="1"/>
    <col min="12547" max="12549" width="20.28515625" style="157" customWidth="1"/>
    <col min="12550" max="12550" width="19.5703125" style="157" customWidth="1"/>
    <col min="12551" max="12801" width="11.5703125" style="157"/>
    <col min="12802" max="12802" width="9.28515625" style="157" customWidth="1"/>
    <col min="12803" max="12805" width="20.28515625" style="157" customWidth="1"/>
    <col min="12806" max="12806" width="19.5703125" style="157" customWidth="1"/>
    <col min="12807" max="13057" width="11.5703125" style="157"/>
    <col min="13058" max="13058" width="9.28515625" style="157" customWidth="1"/>
    <col min="13059" max="13061" width="20.28515625" style="157" customWidth="1"/>
    <col min="13062" max="13062" width="19.5703125" style="157" customWidth="1"/>
    <col min="13063" max="13313" width="11.5703125" style="157"/>
    <col min="13314" max="13314" width="9.28515625" style="157" customWidth="1"/>
    <col min="13315" max="13317" width="20.28515625" style="157" customWidth="1"/>
    <col min="13318" max="13318" width="19.5703125" style="157" customWidth="1"/>
    <col min="13319" max="13569" width="11.5703125" style="157"/>
    <col min="13570" max="13570" width="9.28515625" style="157" customWidth="1"/>
    <col min="13571" max="13573" width="20.28515625" style="157" customWidth="1"/>
    <col min="13574" max="13574" width="19.5703125" style="157" customWidth="1"/>
    <col min="13575" max="13825" width="11.5703125" style="157"/>
    <col min="13826" max="13826" width="9.28515625" style="157" customWidth="1"/>
    <col min="13827" max="13829" width="20.28515625" style="157" customWidth="1"/>
    <col min="13830" max="13830" width="19.5703125" style="157" customWidth="1"/>
    <col min="13831" max="14081" width="11.5703125" style="157"/>
    <col min="14082" max="14082" width="9.28515625" style="157" customWidth="1"/>
    <col min="14083" max="14085" width="20.28515625" style="157" customWidth="1"/>
    <col min="14086" max="14086" width="19.5703125" style="157" customWidth="1"/>
    <col min="14087" max="14337" width="11.5703125" style="157"/>
    <col min="14338" max="14338" width="9.28515625" style="157" customWidth="1"/>
    <col min="14339" max="14341" width="20.28515625" style="157" customWidth="1"/>
    <col min="14342" max="14342" width="19.5703125" style="157" customWidth="1"/>
    <col min="14343" max="14593" width="11.5703125" style="157"/>
    <col min="14594" max="14594" width="9.28515625" style="157" customWidth="1"/>
    <col min="14595" max="14597" width="20.28515625" style="157" customWidth="1"/>
    <col min="14598" max="14598" width="19.5703125" style="157" customWidth="1"/>
    <col min="14599" max="14849" width="11.5703125" style="157"/>
    <col min="14850" max="14850" width="9.28515625" style="157" customWidth="1"/>
    <col min="14851" max="14853" width="20.28515625" style="157" customWidth="1"/>
    <col min="14854" max="14854" width="19.5703125" style="157" customWidth="1"/>
    <col min="14855" max="15105" width="11.5703125" style="157"/>
    <col min="15106" max="15106" width="9.28515625" style="157" customWidth="1"/>
    <col min="15107" max="15109" width="20.28515625" style="157" customWidth="1"/>
    <col min="15110" max="15110" width="19.5703125" style="157" customWidth="1"/>
    <col min="15111" max="15361" width="11.5703125" style="157"/>
    <col min="15362" max="15362" width="9.28515625" style="157" customWidth="1"/>
    <col min="15363" max="15365" width="20.28515625" style="157" customWidth="1"/>
    <col min="15366" max="15366" width="19.5703125" style="157" customWidth="1"/>
    <col min="15367" max="15617" width="11.5703125" style="157"/>
    <col min="15618" max="15618" width="9.28515625" style="157" customWidth="1"/>
    <col min="15619" max="15621" width="20.28515625" style="157" customWidth="1"/>
    <col min="15622" max="15622" width="19.5703125" style="157" customWidth="1"/>
    <col min="15623" max="15873" width="11.5703125" style="157"/>
    <col min="15874" max="15874" width="9.28515625" style="157" customWidth="1"/>
    <col min="15875" max="15877" width="20.28515625" style="157" customWidth="1"/>
    <col min="15878" max="15878" width="19.5703125" style="157" customWidth="1"/>
    <col min="15879" max="16129" width="11.5703125" style="157"/>
    <col min="16130" max="16130" width="9.28515625" style="157" customWidth="1"/>
    <col min="16131" max="16133" width="20.28515625" style="157" customWidth="1"/>
    <col min="16134" max="16134" width="19.5703125" style="157" customWidth="1"/>
    <col min="16135" max="16384" width="11.5703125" style="157"/>
  </cols>
  <sheetData>
    <row r="1" spans="2:11" s="156" customFormat="1" ht="36" customHeight="1" thickBot="1">
      <c r="B1" s="1208" t="s">
        <v>167</v>
      </c>
      <c r="C1" s="1208"/>
      <c r="D1" s="1208"/>
      <c r="E1" s="1208"/>
      <c r="F1" s="1208"/>
    </row>
    <row r="2" spans="2:11" ht="21.75" customHeight="1" thickBot="1">
      <c r="B2" s="1198" t="s">
        <v>1</v>
      </c>
      <c r="C2" s="1200" t="s">
        <v>168</v>
      </c>
      <c r="D2" s="1200"/>
      <c r="E2" s="1200"/>
      <c r="F2" s="1201"/>
    </row>
    <row r="3" spans="2:11" s="158" customFormat="1" ht="45.75" customHeight="1" thickBot="1">
      <c r="B3" s="1199"/>
      <c r="C3" s="414" t="s">
        <v>169</v>
      </c>
      <c r="D3" s="49" t="s">
        <v>170</v>
      </c>
      <c r="E3" s="49" t="s">
        <v>171</v>
      </c>
      <c r="F3" s="414" t="s">
        <v>168</v>
      </c>
      <c r="G3" s="157"/>
      <c r="H3" s="157"/>
      <c r="I3" s="157"/>
      <c r="J3" s="157"/>
      <c r="K3" s="157"/>
    </row>
    <row r="4" spans="2:11" ht="20.25" customHeight="1">
      <c r="B4" s="360">
        <v>1</v>
      </c>
      <c r="C4" s="873">
        <f t="array" ref="C4:E33">TRANSPOSE('17 R1 INV'!I70:AL72)</f>
        <v>408428.3754822117</v>
      </c>
      <c r="D4" s="543">
        <v>37879.125589369905</v>
      </c>
      <c r="E4" s="543">
        <v>116954.72850141811</v>
      </c>
      <c r="F4" s="563">
        <f>C4+D4+E4</f>
        <v>563262.22957299976</v>
      </c>
    </row>
    <row r="5" spans="2:11" ht="20.25" customHeight="1">
      <c r="B5" s="98">
        <v>2</v>
      </c>
      <c r="C5" s="574">
        <v>329783.01199834509</v>
      </c>
      <c r="D5" s="544">
        <v>571.94869673148537</v>
      </c>
      <c r="E5" s="544">
        <v>15284.203558129915</v>
      </c>
      <c r="F5" s="564">
        <f>C5+D5+E5</f>
        <v>345639.16425320646</v>
      </c>
    </row>
    <row r="6" spans="2:11" ht="20.25" customHeight="1">
      <c r="B6" s="98">
        <v>3</v>
      </c>
      <c r="C6" s="574">
        <v>226602.31678867349</v>
      </c>
      <c r="D6" s="544">
        <v>9420.8028316306008</v>
      </c>
      <c r="E6" s="544">
        <v>66314.391440752952</v>
      </c>
      <c r="F6" s="564">
        <f t="shared" ref="F6:F33" si="0">C6+D6+E6</f>
        <v>302337.51106105704</v>
      </c>
    </row>
    <row r="7" spans="2:11" ht="20.25" customHeight="1">
      <c r="B7" s="98">
        <v>4</v>
      </c>
      <c r="C7" s="574">
        <v>1359859.3479073208</v>
      </c>
      <c r="D7" s="544">
        <v>816</v>
      </c>
      <c r="E7" s="544">
        <v>33061.865972076979</v>
      </c>
      <c r="F7" s="564">
        <f t="shared" si="0"/>
        <v>1393737.2138793978</v>
      </c>
    </row>
    <row r="8" spans="2:11" ht="20.25" customHeight="1">
      <c r="B8" s="98">
        <v>5</v>
      </c>
      <c r="C8" s="946">
        <v>423362.0777800596</v>
      </c>
      <c r="D8" s="905">
        <v>4753466.1814534497</v>
      </c>
      <c r="E8" s="905">
        <v>33061.865972076979</v>
      </c>
      <c r="F8" s="911">
        <f t="shared" si="0"/>
        <v>5209890.1252055857</v>
      </c>
    </row>
    <row r="9" spans="2:11" ht="20.25" customHeight="1">
      <c r="B9" s="98">
        <v>6</v>
      </c>
      <c r="C9" s="946">
        <v>99278.617780059591</v>
      </c>
      <c r="D9" s="905">
        <v>595557.84756711626</v>
      </c>
      <c r="E9" s="905">
        <v>33061.865972076979</v>
      </c>
      <c r="F9" s="911">
        <f t="shared" si="0"/>
        <v>727898.33131925284</v>
      </c>
    </row>
    <row r="10" spans="2:11" ht="20.25" customHeight="1">
      <c r="B10" s="98">
        <v>7</v>
      </c>
      <c r="C10" s="946">
        <v>14581.887780059598</v>
      </c>
      <c r="D10" s="905">
        <v>1665461.7728142848</v>
      </c>
      <c r="E10" s="905">
        <v>33061.865972076979</v>
      </c>
      <c r="F10" s="911">
        <f t="shared" si="0"/>
        <v>1713105.5265664214</v>
      </c>
    </row>
    <row r="11" spans="2:11" ht="20.25" customHeight="1">
      <c r="B11" s="98">
        <v>8</v>
      </c>
      <c r="C11" s="946">
        <v>14581.887780059598</v>
      </c>
      <c r="D11" s="905">
        <v>1144098.0717231876</v>
      </c>
      <c r="E11" s="905">
        <v>33061.865972076979</v>
      </c>
      <c r="F11" s="911">
        <f t="shared" si="0"/>
        <v>1191741.8254753242</v>
      </c>
    </row>
    <row r="12" spans="2:11" ht="20.25" customHeight="1">
      <c r="B12" s="98">
        <v>9</v>
      </c>
      <c r="C12" s="946">
        <v>14581.887780059598</v>
      </c>
      <c r="D12" s="905">
        <v>1876522.1650870387</v>
      </c>
      <c r="E12" s="905">
        <v>33061.865972076979</v>
      </c>
      <c r="F12" s="911">
        <f t="shared" si="0"/>
        <v>1924165.9188391753</v>
      </c>
    </row>
    <row r="13" spans="2:11" ht="20.25" customHeight="1">
      <c r="B13" s="98">
        <v>10</v>
      </c>
      <c r="C13" s="946">
        <v>15189.887780059598</v>
      </c>
      <c r="D13" s="905">
        <v>951526.31680762395</v>
      </c>
      <c r="E13" s="905">
        <v>33061.865972076979</v>
      </c>
      <c r="F13" s="911">
        <f t="shared" si="0"/>
        <v>999778.07055976056</v>
      </c>
    </row>
    <row r="14" spans="2:11" ht="20.25" customHeight="1">
      <c r="B14" s="98">
        <v>11</v>
      </c>
      <c r="C14" s="946">
        <v>14785.887780059598</v>
      </c>
      <c r="D14" s="905">
        <v>2605657.7258695289</v>
      </c>
      <c r="E14" s="905">
        <v>33061.865972076979</v>
      </c>
      <c r="F14" s="911">
        <f t="shared" si="0"/>
        <v>2653505.4796216656</v>
      </c>
    </row>
    <row r="15" spans="2:11" ht="20.25" customHeight="1">
      <c r="B15" s="98">
        <v>12</v>
      </c>
      <c r="C15" s="946">
        <v>14275.887780059598</v>
      </c>
      <c r="D15" s="905">
        <v>2305672.4517390579</v>
      </c>
      <c r="E15" s="905">
        <v>33061.865972076979</v>
      </c>
      <c r="F15" s="911">
        <f t="shared" si="0"/>
        <v>2353010.2054911945</v>
      </c>
    </row>
    <row r="16" spans="2:11" ht="20.25" customHeight="1">
      <c r="B16" s="98">
        <v>13</v>
      </c>
      <c r="C16" s="448">
        <v>14275.887780059598</v>
      </c>
      <c r="D16" s="107">
        <v>21049</v>
      </c>
      <c r="E16" s="107">
        <v>33061.865972076979</v>
      </c>
      <c r="F16" s="419">
        <f t="shared" si="0"/>
        <v>68386.753752136574</v>
      </c>
    </row>
    <row r="17" spans="2:11" ht="20.25" customHeight="1">
      <c r="B17" s="98">
        <v>14</v>
      </c>
      <c r="C17" s="448">
        <v>14275.887780059598</v>
      </c>
      <c r="D17" s="107">
        <v>21049</v>
      </c>
      <c r="E17" s="107">
        <v>33061.865972076979</v>
      </c>
      <c r="F17" s="419">
        <f t="shared" si="0"/>
        <v>68386.753752136574</v>
      </c>
    </row>
    <row r="18" spans="2:11" ht="20.25" customHeight="1">
      <c r="B18" s="98">
        <v>15</v>
      </c>
      <c r="C18" s="448">
        <v>14275.887780059598</v>
      </c>
      <c r="D18" s="107">
        <v>21049</v>
      </c>
      <c r="E18" s="107">
        <v>33061.865972076979</v>
      </c>
      <c r="F18" s="419">
        <f t="shared" si="0"/>
        <v>68386.753752136574</v>
      </c>
    </row>
    <row r="19" spans="2:11" ht="20.25" customHeight="1">
      <c r="B19" s="98">
        <v>16</v>
      </c>
      <c r="C19" s="448">
        <v>12851.887780059598</v>
      </c>
      <c r="D19" s="107">
        <v>17185</v>
      </c>
      <c r="E19" s="107">
        <v>33061.865972076979</v>
      </c>
      <c r="F19" s="419">
        <f t="shared" si="0"/>
        <v>63098.753752136574</v>
      </c>
    </row>
    <row r="20" spans="2:11" ht="20.25" customHeight="1">
      <c r="B20" s="98">
        <v>17</v>
      </c>
      <c r="C20" s="448">
        <v>12851.887780059598</v>
      </c>
      <c r="D20" s="107">
        <v>17185</v>
      </c>
      <c r="E20" s="107">
        <v>33061.865972076979</v>
      </c>
      <c r="F20" s="419">
        <f t="shared" si="0"/>
        <v>63098.753752136574</v>
      </c>
    </row>
    <row r="21" spans="2:11" ht="20.25" customHeight="1">
      <c r="B21" s="98">
        <v>18</v>
      </c>
      <c r="C21" s="448">
        <v>12851.887780059598</v>
      </c>
      <c r="D21" s="107">
        <v>17185</v>
      </c>
      <c r="E21" s="107">
        <v>33061.865972076979</v>
      </c>
      <c r="F21" s="419">
        <f t="shared" si="0"/>
        <v>63098.753752136574</v>
      </c>
    </row>
    <row r="22" spans="2:11" s="158" customFormat="1" ht="20.25" customHeight="1">
      <c r="B22" s="98">
        <v>19</v>
      </c>
      <c r="C22" s="448">
        <v>12851.887780059598</v>
      </c>
      <c r="D22" s="107">
        <v>17185</v>
      </c>
      <c r="E22" s="107">
        <v>33061.865972076979</v>
      </c>
      <c r="F22" s="419">
        <f t="shared" si="0"/>
        <v>63098.753752136574</v>
      </c>
      <c r="G22" s="157"/>
      <c r="H22" s="157"/>
      <c r="I22" s="157"/>
      <c r="J22" s="157"/>
      <c r="K22" s="157"/>
    </row>
    <row r="23" spans="2:11" ht="20.25" customHeight="1">
      <c r="B23" s="98">
        <v>20</v>
      </c>
      <c r="C23" s="448">
        <v>12851.887780059598</v>
      </c>
      <c r="D23" s="107">
        <v>17185</v>
      </c>
      <c r="E23" s="107">
        <v>33061.865972076979</v>
      </c>
      <c r="F23" s="419">
        <f t="shared" si="0"/>
        <v>63098.753752136574</v>
      </c>
    </row>
    <row r="24" spans="2:11" ht="20.25" customHeight="1">
      <c r="B24" s="98">
        <v>21</v>
      </c>
      <c r="C24" s="448">
        <v>14377.887780059598</v>
      </c>
      <c r="D24" s="107">
        <v>21354</v>
      </c>
      <c r="E24" s="107">
        <v>33061.865972076979</v>
      </c>
      <c r="F24" s="419">
        <f t="shared" si="0"/>
        <v>68793.753752136574</v>
      </c>
    </row>
    <row r="25" spans="2:11" ht="20.25" customHeight="1">
      <c r="B25" s="98">
        <v>22</v>
      </c>
      <c r="C25" s="448">
        <v>11835.887780059598</v>
      </c>
      <c r="D25" s="107">
        <v>14541</v>
      </c>
      <c r="E25" s="107">
        <v>33061.865972076979</v>
      </c>
      <c r="F25" s="419">
        <f t="shared" si="0"/>
        <v>59438.753752136574</v>
      </c>
    </row>
    <row r="26" spans="2:11" s="158" customFormat="1" ht="20.25" customHeight="1">
      <c r="B26" s="98">
        <v>23</v>
      </c>
      <c r="C26" s="448">
        <v>11835.887780059598</v>
      </c>
      <c r="D26" s="107">
        <v>14541</v>
      </c>
      <c r="E26" s="107">
        <v>33061.865972076979</v>
      </c>
      <c r="F26" s="419">
        <f t="shared" si="0"/>
        <v>59438.753752136574</v>
      </c>
      <c r="G26" s="157"/>
      <c r="H26" s="157"/>
      <c r="I26" s="157"/>
      <c r="J26" s="157"/>
      <c r="K26" s="157"/>
    </row>
    <row r="27" spans="2:11" s="158" customFormat="1" ht="20.25" customHeight="1">
      <c r="B27" s="98">
        <v>24</v>
      </c>
      <c r="C27" s="448">
        <v>11835.887780059598</v>
      </c>
      <c r="D27" s="107">
        <v>14541</v>
      </c>
      <c r="E27" s="107">
        <v>33061.865972076979</v>
      </c>
      <c r="F27" s="419">
        <f t="shared" si="0"/>
        <v>59438.753752136574</v>
      </c>
      <c r="G27" s="157"/>
      <c r="H27" s="157"/>
      <c r="I27" s="157"/>
      <c r="J27" s="157"/>
      <c r="K27" s="157"/>
    </row>
    <row r="28" spans="2:11" ht="20.25" customHeight="1">
      <c r="B28" s="98">
        <v>25</v>
      </c>
      <c r="C28" s="448">
        <v>11835.887780059598</v>
      </c>
      <c r="D28" s="107">
        <v>14541</v>
      </c>
      <c r="E28" s="107">
        <v>33061.865972076979</v>
      </c>
      <c r="F28" s="419">
        <f t="shared" si="0"/>
        <v>59438.753752136574</v>
      </c>
    </row>
    <row r="29" spans="2:11" ht="20.25" customHeight="1">
      <c r="B29" s="98">
        <v>26</v>
      </c>
      <c r="C29" s="448">
        <v>14377.887780059598</v>
      </c>
      <c r="D29" s="107">
        <v>21354</v>
      </c>
      <c r="E29" s="107">
        <v>33061.865972076979</v>
      </c>
      <c r="F29" s="419">
        <f t="shared" si="0"/>
        <v>68793.753752136574</v>
      </c>
    </row>
    <row r="30" spans="2:11" ht="20.25" customHeight="1">
      <c r="B30" s="98">
        <v>27</v>
      </c>
      <c r="C30" s="448">
        <v>12039.887780059598</v>
      </c>
      <c r="D30" s="107">
        <v>15151</v>
      </c>
      <c r="E30" s="107">
        <v>33061.865972076979</v>
      </c>
      <c r="F30" s="419">
        <f t="shared" si="0"/>
        <v>60252.753752136574</v>
      </c>
    </row>
    <row r="31" spans="2:11" ht="20.25" customHeight="1">
      <c r="B31" s="98">
        <v>28</v>
      </c>
      <c r="C31" s="448">
        <v>12243.887780059598</v>
      </c>
      <c r="D31" s="107">
        <v>15761</v>
      </c>
      <c r="E31" s="107">
        <v>33061.865972076979</v>
      </c>
      <c r="F31" s="419">
        <f t="shared" si="0"/>
        <v>61066.753752136574</v>
      </c>
    </row>
    <row r="32" spans="2:11" ht="20.25" customHeight="1">
      <c r="B32" s="98">
        <v>29</v>
      </c>
      <c r="C32" s="448">
        <v>12647.887780059598</v>
      </c>
      <c r="D32" s="107">
        <v>16575</v>
      </c>
      <c r="E32" s="107">
        <v>33061.865972076979</v>
      </c>
      <c r="F32" s="419">
        <f t="shared" si="0"/>
        <v>62284.753752136574</v>
      </c>
    </row>
    <row r="33" spans="2:6" ht="20.25" customHeight="1" thickBot="1">
      <c r="B33" s="100">
        <v>30</v>
      </c>
      <c r="C33" s="380">
        <v>9773.2620246559418</v>
      </c>
      <c r="D33" s="369">
        <v>16612.120000000003</v>
      </c>
      <c r="E33" s="369">
        <v>33061.865972076979</v>
      </c>
      <c r="F33" s="958">
        <f t="shared" si="0"/>
        <v>59447.247996732927</v>
      </c>
    </row>
    <row r="34" spans="2:6" ht="20.25" customHeight="1" thickBot="1">
      <c r="B34" s="372" t="s">
        <v>121</v>
      </c>
      <c r="C34" s="959">
        <f>SUM(C4:C33)</f>
        <v>3165202.4287026967</v>
      </c>
      <c r="D34" s="959">
        <f>SUM(D4:D33)</f>
        <v>16260693.530179018</v>
      </c>
      <c r="E34" s="959">
        <f>SUM(E4:E33)</f>
        <v>1091223.70474638</v>
      </c>
      <c r="F34" s="945">
        <f>SUM(F4:F33)</f>
        <v>20517119.663628064</v>
      </c>
    </row>
    <row r="35" spans="2:6">
      <c r="E35" s="159"/>
    </row>
  </sheetData>
  <mergeCells count="3">
    <mergeCell ref="B1:F1"/>
    <mergeCell ref="B2:B3"/>
    <mergeCell ref="C2:F2"/>
  </mergeCells>
  <printOptions horizontalCentered="1"/>
  <pageMargins left="0.98425196850393704" right="0.59055118110236227" top="1.9685039370078741" bottom="1.0629921259842521" header="0.39370078740157483" footer="0.39370078740157483"/>
  <pageSetup paperSize="9" scale="82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6">
    <tabColor theme="0"/>
    <pageSetUpPr fitToPage="1"/>
  </sheetPr>
  <dimension ref="A1:AL371"/>
  <sheetViews>
    <sheetView workbookViewId="0">
      <selection activeCell="D7" sqref="D7"/>
    </sheetView>
  </sheetViews>
  <sheetFormatPr defaultRowHeight="12.75"/>
  <cols>
    <col min="1" max="1" width="14" style="13" bestFit="1" customWidth="1"/>
    <col min="2" max="2" width="14.85546875" style="13" customWidth="1"/>
    <col min="3" max="3" width="9.140625" style="13"/>
    <col min="4" max="4" width="10.42578125" style="13" customWidth="1"/>
    <col min="5" max="5" width="9.140625" style="13" customWidth="1"/>
    <col min="6" max="33" width="9.140625" style="13"/>
    <col min="34" max="34" width="11" style="13" customWidth="1"/>
    <col min="35" max="256" width="9.140625" style="13"/>
    <col min="257" max="257" width="14" style="13" bestFit="1" customWidth="1"/>
    <col min="258" max="258" width="14.85546875" style="13" customWidth="1"/>
    <col min="259" max="260" width="9.140625" style="13"/>
    <col min="261" max="261" width="9.140625" style="13" customWidth="1"/>
    <col min="262" max="289" width="9.140625" style="13"/>
    <col min="290" max="290" width="11" style="13" customWidth="1"/>
    <col min="291" max="512" width="9.140625" style="13"/>
    <col min="513" max="513" width="14" style="13" bestFit="1" customWidth="1"/>
    <col min="514" max="514" width="14.85546875" style="13" customWidth="1"/>
    <col min="515" max="516" width="9.140625" style="13"/>
    <col min="517" max="517" width="9.140625" style="13" customWidth="1"/>
    <col min="518" max="545" width="9.140625" style="13"/>
    <col min="546" max="546" width="11" style="13" customWidth="1"/>
    <col min="547" max="768" width="9.140625" style="13"/>
    <col min="769" max="769" width="14" style="13" bestFit="1" customWidth="1"/>
    <col min="770" max="770" width="14.85546875" style="13" customWidth="1"/>
    <col min="771" max="772" width="9.140625" style="13"/>
    <col min="773" max="773" width="9.140625" style="13" customWidth="1"/>
    <col min="774" max="801" width="9.140625" style="13"/>
    <col min="802" max="802" width="11" style="13" customWidth="1"/>
    <col min="803" max="1024" width="9.140625" style="13"/>
    <col min="1025" max="1025" width="14" style="13" bestFit="1" customWidth="1"/>
    <col min="1026" max="1026" width="14.85546875" style="13" customWidth="1"/>
    <col min="1027" max="1028" width="9.140625" style="13"/>
    <col min="1029" max="1029" width="9.140625" style="13" customWidth="1"/>
    <col min="1030" max="1057" width="9.140625" style="13"/>
    <col min="1058" max="1058" width="11" style="13" customWidth="1"/>
    <col min="1059" max="1280" width="9.140625" style="13"/>
    <col min="1281" max="1281" width="14" style="13" bestFit="1" customWidth="1"/>
    <col min="1282" max="1282" width="14.85546875" style="13" customWidth="1"/>
    <col min="1283" max="1284" width="9.140625" style="13"/>
    <col min="1285" max="1285" width="9.140625" style="13" customWidth="1"/>
    <col min="1286" max="1313" width="9.140625" style="13"/>
    <col min="1314" max="1314" width="11" style="13" customWidth="1"/>
    <col min="1315" max="1536" width="9.140625" style="13"/>
    <col min="1537" max="1537" width="14" style="13" bestFit="1" customWidth="1"/>
    <col min="1538" max="1538" width="14.85546875" style="13" customWidth="1"/>
    <col min="1539" max="1540" width="9.140625" style="13"/>
    <col min="1541" max="1541" width="9.140625" style="13" customWidth="1"/>
    <col min="1542" max="1569" width="9.140625" style="13"/>
    <col min="1570" max="1570" width="11" style="13" customWidth="1"/>
    <col min="1571" max="1792" width="9.140625" style="13"/>
    <col min="1793" max="1793" width="14" style="13" bestFit="1" customWidth="1"/>
    <col min="1794" max="1794" width="14.85546875" style="13" customWidth="1"/>
    <col min="1795" max="1796" width="9.140625" style="13"/>
    <col min="1797" max="1797" width="9.140625" style="13" customWidth="1"/>
    <col min="1798" max="1825" width="9.140625" style="13"/>
    <col min="1826" max="1826" width="11" style="13" customWidth="1"/>
    <col min="1827" max="2048" width="9.140625" style="13"/>
    <col min="2049" max="2049" width="14" style="13" bestFit="1" customWidth="1"/>
    <col min="2050" max="2050" width="14.85546875" style="13" customWidth="1"/>
    <col min="2051" max="2052" width="9.140625" style="13"/>
    <col min="2053" max="2053" width="9.140625" style="13" customWidth="1"/>
    <col min="2054" max="2081" width="9.140625" style="13"/>
    <col min="2082" max="2082" width="11" style="13" customWidth="1"/>
    <col min="2083" max="2304" width="9.140625" style="13"/>
    <col min="2305" max="2305" width="14" style="13" bestFit="1" customWidth="1"/>
    <col min="2306" max="2306" width="14.85546875" style="13" customWidth="1"/>
    <col min="2307" max="2308" width="9.140625" style="13"/>
    <col min="2309" max="2309" width="9.140625" style="13" customWidth="1"/>
    <col min="2310" max="2337" width="9.140625" style="13"/>
    <col min="2338" max="2338" width="11" style="13" customWidth="1"/>
    <col min="2339" max="2560" width="9.140625" style="13"/>
    <col min="2561" max="2561" width="14" style="13" bestFit="1" customWidth="1"/>
    <col min="2562" max="2562" width="14.85546875" style="13" customWidth="1"/>
    <col min="2563" max="2564" width="9.140625" style="13"/>
    <col min="2565" max="2565" width="9.140625" style="13" customWidth="1"/>
    <col min="2566" max="2593" width="9.140625" style="13"/>
    <col min="2594" max="2594" width="11" style="13" customWidth="1"/>
    <col min="2595" max="2816" width="9.140625" style="13"/>
    <col min="2817" max="2817" width="14" style="13" bestFit="1" customWidth="1"/>
    <col min="2818" max="2818" width="14.85546875" style="13" customWidth="1"/>
    <col min="2819" max="2820" width="9.140625" style="13"/>
    <col min="2821" max="2821" width="9.140625" style="13" customWidth="1"/>
    <col min="2822" max="2849" width="9.140625" style="13"/>
    <col min="2850" max="2850" width="11" style="13" customWidth="1"/>
    <col min="2851" max="3072" width="9.140625" style="13"/>
    <col min="3073" max="3073" width="14" style="13" bestFit="1" customWidth="1"/>
    <col min="3074" max="3074" width="14.85546875" style="13" customWidth="1"/>
    <col min="3075" max="3076" width="9.140625" style="13"/>
    <col min="3077" max="3077" width="9.140625" style="13" customWidth="1"/>
    <col min="3078" max="3105" width="9.140625" style="13"/>
    <col min="3106" max="3106" width="11" style="13" customWidth="1"/>
    <col min="3107" max="3328" width="9.140625" style="13"/>
    <col min="3329" max="3329" width="14" style="13" bestFit="1" customWidth="1"/>
    <col min="3330" max="3330" width="14.85546875" style="13" customWidth="1"/>
    <col min="3331" max="3332" width="9.140625" style="13"/>
    <col min="3333" max="3333" width="9.140625" style="13" customWidth="1"/>
    <col min="3334" max="3361" width="9.140625" style="13"/>
    <col min="3362" max="3362" width="11" style="13" customWidth="1"/>
    <col min="3363" max="3584" width="9.140625" style="13"/>
    <col min="3585" max="3585" width="14" style="13" bestFit="1" customWidth="1"/>
    <col min="3586" max="3586" width="14.85546875" style="13" customWidth="1"/>
    <col min="3587" max="3588" width="9.140625" style="13"/>
    <col min="3589" max="3589" width="9.140625" style="13" customWidth="1"/>
    <col min="3590" max="3617" width="9.140625" style="13"/>
    <col min="3618" max="3618" width="11" style="13" customWidth="1"/>
    <col min="3619" max="3840" width="9.140625" style="13"/>
    <col min="3841" max="3841" width="14" style="13" bestFit="1" customWidth="1"/>
    <col min="3842" max="3842" width="14.85546875" style="13" customWidth="1"/>
    <col min="3843" max="3844" width="9.140625" style="13"/>
    <col min="3845" max="3845" width="9.140625" style="13" customWidth="1"/>
    <col min="3846" max="3873" width="9.140625" style="13"/>
    <col min="3874" max="3874" width="11" style="13" customWidth="1"/>
    <col min="3875" max="4096" width="9.140625" style="13"/>
    <col min="4097" max="4097" width="14" style="13" bestFit="1" customWidth="1"/>
    <col min="4098" max="4098" width="14.85546875" style="13" customWidth="1"/>
    <col min="4099" max="4100" width="9.140625" style="13"/>
    <col min="4101" max="4101" width="9.140625" style="13" customWidth="1"/>
    <col min="4102" max="4129" width="9.140625" style="13"/>
    <col min="4130" max="4130" width="11" style="13" customWidth="1"/>
    <col min="4131" max="4352" width="9.140625" style="13"/>
    <col min="4353" max="4353" width="14" style="13" bestFit="1" customWidth="1"/>
    <col min="4354" max="4354" width="14.85546875" style="13" customWidth="1"/>
    <col min="4355" max="4356" width="9.140625" style="13"/>
    <col min="4357" max="4357" width="9.140625" style="13" customWidth="1"/>
    <col min="4358" max="4385" width="9.140625" style="13"/>
    <col min="4386" max="4386" width="11" style="13" customWidth="1"/>
    <col min="4387" max="4608" width="9.140625" style="13"/>
    <col min="4609" max="4609" width="14" style="13" bestFit="1" customWidth="1"/>
    <col min="4610" max="4610" width="14.85546875" style="13" customWidth="1"/>
    <col min="4611" max="4612" width="9.140625" style="13"/>
    <col min="4613" max="4613" width="9.140625" style="13" customWidth="1"/>
    <col min="4614" max="4641" width="9.140625" style="13"/>
    <col min="4642" max="4642" width="11" style="13" customWidth="1"/>
    <col min="4643" max="4864" width="9.140625" style="13"/>
    <col min="4865" max="4865" width="14" style="13" bestFit="1" customWidth="1"/>
    <col min="4866" max="4866" width="14.85546875" style="13" customWidth="1"/>
    <col min="4867" max="4868" width="9.140625" style="13"/>
    <col min="4869" max="4869" width="9.140625" style="13" customWidth="1"/>
    <col min="4870" max="4897" width="9.140625" style="13"/>
    <col min="4898" max="4898" width="11" style="13" customWidth="1"/>
    <col min="4899" max="5120" width="9.140625" style="13"/>
    <col min="5121" max="5121" width="14" style="13" bestFit="1" customWidth="1"/>
    <col min="5122" max="5122" width="14.85546875" style="13" customWidth="1"/>
    <col min="5123" max="5124" width="9.140625" style="13"/>
    <col min="5125" max="5125" width="9.140625" style="13" customWidth="1"/>
    <col min="5126" max="5153" width="9.140625" style="13"/>
    <col min="5154" max="5154" width="11" style="13" customWidth="1"/>
    <col min="5155" max="5376" width="9.140625" style="13"/>
    <col min="5377" max="5377" width="14" style="13" bestFit="1" customWidth="1"/>
    <col min="5378" max="5378" width="14.85546875" style="13" customWidth="1"/>
    <col min="5379" max="5380" width="9.140625" style="13"/>
    <col min="5381" max="5381" width="9.140625" style="13" customWidth="1"/>
    <col min="5382" max="5409" width="9.140625" style="13"/>
    <col min="5410" max="5410" width="11" style="13" customWidth="1"/>
    <col min="5411" max="5632" width="9.140625" style="13"/>
    <col min="5633" max="5633" width="14" style="13" bestFit="1" customWidth="1"/>
    <col min="5634" max="5634" width="14.85546875" style="13" customWidth="1"/>
    <col min="5635" max="5636" width="9.140625" style="13"/>
    <col min="5637" max="5637" width="9.140625" style="13" customWidth="1"/>
    <col min="5638" max="5665" width="9.140625" style="13"/>
    <col min="5666" max="5666" width="11" style="13" customWidth="1"/>
    <col min="5667" max="5888" width="9.140625" style="13"/>
    <col min="5889" max="5889" width="14" style="13" bestFit="1" customWidth="1"/>
    <col min="5890" max="5890" width="14.85546875" style="13" customWidth="1"/>
    <col min="5891" max="5892" width="9.140625" style="13"/>
    <col min="5893" max="5893" width="9.140625" style="13" customWidth="1"/>
    <col min="5894" max="5921" width="9.140625" style="13"/>
    <col min="5922" max="5922" width="11" style="13" customWidth="1"/>
    <col min="5923" max="6144" width="9.140625" style="13"/>
    <col min="6145" max="6145" width="14" style="13" bestFit="1" customWidth="1"/>
    <col min="6146" max="6146" width="14.85546875" style="13" customWidth="1"/>
    <col min="6147" max="6148" width="9.140625" style="13"/>
    <col min="6149" max="6149" width="9.140625" style="13" customWidth="1"/>
    <col min="6150" max="6177" width="9.140625" style="13"/>
    <col min="6178" max="6178" width="11" style="13" customWidth="1"/>
    <col min="6179" max="6400" width="9.140625" style="13"/>
    <col min="6401" max="6401" width="14" style="13" bestFit="1" customWidth="1"/>
    <col min="6402" max="6402" width="14.85546875" style="13" customWidth="1"/>
    <col min="6403" max="6404" width="9.140625" style="13"/>
    <col min="6405" max="6405" width="9.140625" style="13" customWidth="1"/>
    <col min="6406" max="6433" width="9.140625" style="13"/>
    <col min="6434" max="6434" width="11" style="13" customWidth="1"/>
    <col min="6435" max="6656" width="9.140625" style="13"/>
    <col min="6657" max="6657" width="14" style="13" bestFit="1" customWidth="1"/>
    <col min="6658" max="6658" width="14.85546875" style="13" customWidth="1"/>
    <col min="6659" max="6660" width="9.140625" style="13"/>
    <col min="6661" max="6661" width="9.140625" style="13" customWidth="1"/>
    <col min="6662" max="6689" width="9.140625" style="13"/>
    <col min="6690" max="6690" width="11" style="13" customWidth="1"/>
    <col min="6691" max="6912" width="9.140625" style="13"/>
    <col min="6913" max="6913" width="14" style="13" bestFit="1" customWidth="1"/>
    <col min="6914" max="6914" width="14.85546875" style="13" customWidth="1"/>
    <col min="6915" max="6916" width="9.140625" style="13"/>
    <col min="6917" max="6917" width="9.140625" style="13" customWidth="1"/>
    <col min="6918" max="6945" width="9.140625" style="13"/>
    <col min="6946" max="6946" width="11" style="13" customWidth="1"/>
    <col min="6947" max="7168" width="9.140625" style="13"/>
    <col min="7169" max="7169" width="14" style="13" bestFit="1" customWidth="1"/>
    <col min="7170" max="7170" width="14.85546875" style="13" customWidth="1"/>
    <col min="7171" max="7172" width="9.140625" style="13"/>
    <col min="7173" max="7173" width="9.140625" style="13" customWidth="1"/>
    <col min="7174" max="7201" width="9.140625" style="13"/>
    <col min="7202" max="7202" width="11" style="13" customWidth="1"/>
    <col min="7203" max="7424" width="9.140625" style="13"/>
    <col min="7425" max="7425" width="14" style="13" bestFit="1" customWidth="1"/>
    <col min="7426" max="7426" width="14.85546875" style="13" customWidth="1"/>
    <col min="7427" max="7428" width="9.140625" style="13"/>
    <col min="7429" max="7429" width="9.140625" style="13" customWidth="1"/>
    <col min="7430" max="7457" width="9.140625" style="13"/>
    <col min="7458" max="7458" width="11" style="13" customWidth="1"/>
    <col min="7459" max="7680" width="9.140625" style="13"/>
    <col min="7681" max="7681" width="14" style="13" bestFit="1" customWidth="1"/>
    <col min="7682" max="7682" width="14.85546875" style="13" customWidth="1"/>
    <col min="7683" max="7684" width="9.140625" style="13"/>
    <col min="7685" max="7685" width="9.140625" style="13" customWidth="1"/>
    <col min="7686" max="7713" width="9.140625" style="13"/>
    <col min="7714" max="7714" width="11" style="13" customWidth="1"/>
    <col min="7715" max="7936" width="9.140625" style="13"/>
    <col min="7937" max="7937" width="14" style="13" bestFit="1" customWidth="1"/>
    <col min="7938" max="7938" width="14.85546875" style="13" customWidth="1"/>
    <col min="7939" max="7940" width="9.140625" style="13"/>
    <col min="7941" max="7941" width="9.140625" style="13" customWidth="1"/>
    <col min="7942" max="7969" width="9.140625" style="13"/>
    <col min="7970" max="7970" width="11" style="13" customWidth="1"/>
    <col min="7971" max="8192" width="9.140625" style="13"/>
    <col min="8193" max="8193" width="14" style="13" bestFit="1" customWidth="1"/>
    <col min="8194" max="8194" width="14.85546875" style="13" customWidth="1"/>
    <col min="8195" max="8196" width="9.140625" style="13"/>
    <col min="8197" max="8197" width="9.140625" style="13" customWidth="1"/>
    <col min="8198" max="8225" width="9.140625" style="13"/>
    <col min="8226" max="8226" width="11" style="13" customWidth="1"/>
    <col min="8227" max="8448" width="9.140625" style="13"/>
    <col min="8449" max="8449" width="14" style="13" bestFit="1" customWidth="1"/>
    <col min="8450" max="8450" width="14.85546875" style="13" customWidth="1"/>
    <col min="8451" max="8452" width="9.140625" style="13"/>
    <col min="8453" max="8453" width="9.140625" style="13" customWidth="1"/>
    <col min="8454" max="8481" width="9.140625" style="13"/>
    <col min="8482" max="8482" width="11" style="13" customWidth="1"/>
    <col min="8483" max="8704" width="9.140625" style="13"/>
    <col min="8705" max="8705" width="14" style="13" bestFit="1" customWidth="1"/>
    <col min="8706" max="8706" width="14.85546875" style="13" customWidth="1"/>
    <col min="8707" max="8708" width="9.140625" style="13"/>
    <col min="8709" max="8709" width="9.140625" style="13" customWidth="1"/>
    <col min="8710" max="8737" width="9.140625" style="13"/>
    <col min="8738" max="8738" width="11" style="13" customWidth="1"/>
    <col min="8739" max="8960" width="9.140625" style="13"/>
    <col min="8961" max="8961" width="14" style="13" bestFit="1" customWidth="1"/>
    <col min="8962" max="8962" width="14.85546875" style="13" customWidth="1"/>
    <col min="8963" max="8964" width="9.140625" style="13"/>
    <col min="8965" max="8965" width="9.140625" style="13" customWidth="1"/>
    <col min="8966" max="8993" width="9.140625" style="13"/>
    <col min="8994" max="8994" width="11" style="13" customWidth="1"/>
    <col min="8995" max="9216" width="9.140625" style="13"/>
    <col min="9217" max="9217" width="14" style="13" bestFit="1" customWidth="1"/>
    <col min="9218" max="9218" width="14.85546875" style="13" customWidth="1"/>
    <col min="9219" max="9220" width="9.140625" style="13"/>
    <col min="9221" max="9221" width="9.140625" style="13" customWidth="1"/>
    <col min="9222" max="9249" width="9.140625" style="13"/>
    <col min="9250" max="9250" width="11" style="13" customWidth="1"/>
    <col min="9251" max="9472" width="9.140625" style="13"/>
    <col min="9473" max="9473" width="14" style="13" bestFit="1" customWidth="1"/>
    <col min="9474" max="9474" width="14.85546875" style="13" customWidth="1"/>
    <col min="9475" max="9476" width="9.140625" style="13"/>
    <col min="9477" max="9477" width="9.140625" style="13" customWidth="1"/>
    <col min="9478" max="9505" width="9.140625" style="13"/>
    <col min="9506" max="9506" width="11" style="13" customWidth="1"/>
    <col min="9507" max="9728" width="9.140625" style="13"/>
    <col min="9729" max="9729" width="14" style="13" bestFit="1" customWidth="1"/>
    <col min="9730" max="9730" width="14.85546875" style="13" customWidth="1"/>
    <col min="9731" max="9732" width="9.140625" style="13"/>
    <col min="9733" max="9733" width="9.140625" style="13" customWidth="1"/>
    <col min="9734" max="9761" width="9.140625" style="13"/>
    <col min="9762" max="9762" width="11" style="13" customWidth="1"/>
    <col min="9763" max="9984" width="9.140625" style="13"/>
    <col min="9985" max="9985" width="14" style="13" bestFit="1" customWidth="1"/>
    <col min="9986" max="9986" width="14.85546875" style="13" customWidth="1"/>
    <col min="9987" max="9988" width="9.140625" style="13"/>
    <col min="9989" max="9989" width="9.140625" style="13" customWidth="1"/>
    <col min="9990" max="10017" width="9.140625" style="13"/>
    <col min="10018" max="10018" width="11" style="13" customWidth="1"/>
    <col min="10019" max="10240" width="9.140625" style="13"/>
    <col min="10241" max="10241" width="14" style="13" bestFit="1" customWidth="1"/>
    <col min="10242" max="10242" width="14.85546875" style="13" customWidth="1"/>
    <col min="10243" max="10244" width="9.140625" style="13"/>
    <col min="10245" max="10245" width="9.140625" style="13" customWidth="1"/>
    <col min="10246" max="10273" width="9.140625" style="13"/>
    <col min="10274" max="10274" width="11" style="13" customWidth="1"/>
    <col min="10275" max="10496" width="9.140625" style="13"/>
    <col min="10497" max="10497" width="14" style="13" bestFit="1" customWidth="1"/>
    <col min="10498" max="10498" width="14.85546875" style="13" customWidth="1"/>
    <col min="10499" max="10500" width="9.140625" style="13"/>
    <col min="10501" max="10501" width="9.140625" style="13" customWidth="1"/>
    <col min="10502" max="10529" width="9.140625" style="13"/>
    <col min="10530" max="10530" width="11" style="13" customWidth="1"/>
    <col min="10531" max="10752" width="9.140625" style="13"/>
    <col min="10753" max="10753" width="14" style="13" bestFit="1" customWidth="1"/>
    <col min="10754" max="10754" width="14.85546875" style="13" customWidth="1"/>
    <col min="10755" max="10756" width="9.140625" style="13"/>
    <col min="10757" max="10757" width="9.140625" style="13" customWidth="1"/>
    <col min="10758" max="10785" width="9.140625" style="13"/>
    <col min="10786" max="10786" width="11" style="13" customWidth="1"/>
    <col min="10787" max="11008" width="9.140625" style="13"/>
    <col min="11009" max="11009" width="14" style="13" bestFit="1" customWidth="1"/>
    <col min="11010" max="11010" width="14.85546875" style="13" customWidth="1"/>
    <col min="11011" max="11012" width="9.140625" style="13"/>
    <col min="11013" max="11013" width="9.140625" style="13" customWidth="1"/>
    <col min="11014" max="11041" width="9.140625" style="13"/>
    <col min="11042" max="11042" width="11" style="13" customWidth="1"/>
    <col min="11043" max="11264" width="9.140625" style="13"/>
    <col min="11265" max="11265" width="14" style="13" bestFit="1" customWidth="1"/>
    <col min="11266" max="11266" width="14.85546875" style="13" customWidth="1"/>
    <col min="11267" max="11268" width="9.140625" style="13"/>
    <col min="11269" max="11269" width="9.140625" style="13" customWidth="1"/>
    <col min="11270" max="11297" width="9.140625" style="13"/>
    <col min="11298" max="11298" width="11" style="13" customWidth="1"/>
    <col min="11299" max="11520" width="9.140625" style="13"/>
    <col min="11521" max="11521" width="14" style="13" bestFit="1" customWidth="1"/>
    <col min="11522" max="11522" width="14.85546875" style="13" customWidth="1"/>
    <col min="11523" max="11524" width="9.140625" style="13"/>
    <col min="11525" max="11525" width="9.140625" style="13" customWidth="1"/>
    <col min="11526" max="11553" width="9.140625" style="13"/>
    <col min="11554" max="11554" width="11" style="13" customWidth="1"/>
    <col min="11555" max="11776" width="9.140625" style="13"/>
    <col min="11777" max="11777" width="14" style="13" bestFit="1" customWidth="1"/>
    <col min="11778" max="11778" width="14.85546875" style="13" customWidth="1"/>
    <col min="11779" max="11780" width="9.140625" style="13"/>
    <col min="11781" max="11781" width="9.140625" style="13" customWidth="1"/>
    <col min="11782" max="11809" width="9.140625" style="13"/>
    <col min="11810" max="11810" width="11" style="13" customWidth="1"/>
    <col min="11811" max="12032" width="9.140625" style="13"/>
    <col min="12033" max="12033" width="14" style="13" bestFit="1" customWidth="1"/>
    <col min="12034" max="12034" width="14.85546875" style="13" customWidth="1"/>
    <col min="12035" max="12036" width="9.140625" style="13"/>
    <col min="12037" max="12037" width="9.140625" style="13" customWidth="1"/>
    <col min="12038" max="12065" width="9.140625" style="13"/>
    <col min="12066" max="12066" width="11" style="13" customWidth="1"/>
    <col min="12067" max="12288" width="9.140625" style="13"/>
    <col min="12289" max="12289" width="14" style="13" bestFit="1" customWidth="1"/>
    <col min="12290" max="12290" width="14.85546875" style="13" customWidth="1"/>
    <col min="12291" max="12292" width="9.140625" style="13"/>
    <col min="12293" max="12293" width="9.140625" style="13" customWidth="1"/>
    <col min="12294" max="12321" width="9.140625" style="13"/>
    <col min="12322" max="12322" width="11" style="13" customWidth="1"/>
    <col min="12323" max="12544" width="9.140625" style="13"/>
    <col min="12545" max="12545" width="14" style="13" bestFit="1" customWidth="1"/>
    <col min="12546" max="12546" width="14.85546875" style="13" customWidth="1"/>
    <col min="12547" max="12548" width="9.140625" style="13"/>
    <col min="12549" max="12549" width="9.140625" style="13" customWidth="1"/>
    <col min="12550" max="12577" width="9.140625" style="13"/>
    <col min="12578" max="12578" width="11" style="13" customWidth="1"/>
    <col min="12579" max="12800" width="9.140625" style="13"/>
    <col min="12801" max="12801" width="14" style="13" bestFit="1" customWidth="1"/>
    <col min="12802" max="12802" width="14.85546875" style="13" customWidth="1"/>
    <col min="12803" max="12804" width="9.140625" style="13"/>
    <col min="12805" max="12805" width="9.140625" style="13" customWidth="1"/>
    <col min="12806" max="12833" width="9.140625" style="13"/>
    <col min="12834" max="12834" width="11" style="13" customWidth="1"/>
    <col min="12835" max="13056" width="9.140625" style="13"/>
    <col min="13057" max="13057" width="14" style="13" bestFit="1" customWidth="1"/>
    <col min="13058" max="13058" width="14.85546875" style="13" customWidth="1"/>
    <col min="13059" max="13060" width="9.140625" style="13"/>
    <col min="13061" max="13061" width="9.140625" style="13" customWidth="1"/>
    <col min="13062" max="13089" width="9.140625" style="13"/>
    <col min="13090" max="13090" width="11" style="13" customWidth="1"/>
    <col min="13091" max="13312" width="9.140625" style="13"/>
    <col min="13313" max="13313" width="14" style="13" bestFit="1" customWidth="1"/>
    <col min="13314" max="13314" width="14.85546875" style="13" customWidth="1"/>
    <col min="13315" max="13316" width="9.140625" style="13"/>
    <col min="13317" max="13317" width="9.140625" style="13" customWidth="1"/>
    <col min="13318" max="13345" width="9.140625" style="13"/>
    <col min="13346" max="13346" width="11" style="13" customWidth="1"/>
    <col min="13347" max="13568" width="9.140625" style="13"/>
    <col min="13569" max="13569" width="14" style="13" bestFit="1" customWidth="1"/>
    <col min="13570" max="13570" width="14.85546875" style="13" customWidth="1"/>
    <col min="13571" max="13572" width="9.140625" style="13"/>
    <col min="13573" max="13573" width="9.140625" style="13" customWidth="1"/>
    <col min="13574" max="13601" width="9.140625" style="13"/>
    <col min="13602" max="13602" width="11" style="13" customWidth="1"/>
    <col min="13603" max="13824" width="9.140625" style="13"/>
    <col min="13825" max="13825" width="14" style="13" bestFit="1" customWidth="1"/>
    <col min="13826" max="13826" width="14.85546875" style="13" customWidth="1"/>
    <col min="13827" max="13828" width="9.140625" style="13"/>
    <col min="13829" max="13829" width="9.140625" style="13" customWidth="1"/>
    <col min="13830" max="13857" width="9.140625" style="13"/>
    <col min="13858" max="13858" width="11" style="13" customWidth="1"/>
    <col min="13859" max="14080" width="9.140625" style="13"/>
    <col min="14081" max="14081" width="14" style="13" bestFit="1" customWidth="1"/>
    <col min="14082" max="14082" width="14.85546875" style="13" customWidth="1"/>
    <col min="14083" max="14084" width="9.140625" style="13"/>
    <col min="14085" max="14085" width="9.140625" style="13" customWidth="1"/>
    <col min="14086" max="14113" width="9.140625" style="13"/>
    <col min="14114" max="14114" width="11" style="13" customWidth="1"/>
    <col min="14115" max="14336" width="9.140625" style="13"/>
    <col min="14337" max="14337" width="14" style="13" bestFit="1" customWidth="1"/>
    <col min="14338" max="14338" width="14.85546875" style="13" customWidth="1"/>
    <col min="14339" max="14340" width="9.140625" style="13"/>
    <col min="14341" max="14341" width="9.140625" style="13" customWidth="1"/>
    <col min="14342" max="14369" width="9.140625" style="13"/>
    <col min="14370" max="14370" width="11" style="13" customWidth="1"/>
    <col min="14371" max="14592" width="9.140625" style="13"/>
    <col min="14593" max="14593" width="14" style="13" bestFit="1" customWidth="1"/>
    <col min="14594" max="14594" width="14.85546875" style="13" customWidth="1"/>
    <col min="14595" max="14596" width="9.140625" style="13"/>
    <col min="14597" max="14597" width="9.140625" style="13" customWidth="1"/>
    <col min="14598" max="14625" width="9.140625" style="13"/>
    <col min="14626" max="14626" width="11" style="13" customWidth="1"/>
    <col min="14627" max="14848" width="9.140625" style="13"/>
    <col min="14849" max="14849" width="14" style="13" bestFit="1" customWidth="1"/>
    <col min="14850" max="14850" width="14.85546875" style="13" customWidth="1"/>
    <col min="14851" max="14852" width="9.140625" style="13"/>
    <col min="14853" max="14853" width="9.140625" style="13" customWidth="1"/>
    <col min="14854" max="14881" width="9.140625" style="13"/>
    <col min="14882" max="14882" width="11" style="13" customWidth="1"/>
    <col min="14883" max="15104" width="9.140625" style="13"/>
    <col min="15105" max="15105" width="14" style="13" bestFit="1" customWidth="1"/>
    <col min="15106" max="15106" width="14.85546875" style="13" customWidth="1"/>
    <col min="15107" max="15108" width="9.140625" style="13"/>
    <col min="15109" max="15109" width="9.140625" style="13" customWidth="1"/>
    <col min="15110" max="15137" width="9.140625" style="13"/>
    <col min="15138" max="15138" width="11" style="13" customWidth="1"/>
    <col min="15139" max="15360" width="9.140625" style="13"/>
    <col min="15361" max="15361" width="14" style="13" bestFit="1" customWidth="1"/>
    <col min="15362" max="15362" width="14.85546875" style="13" customWidth="1"/>
    <col min="15363" max="15364" width="9.140625" style="13"/>
    <col min="15365" max="15365" width="9.140625" style="13" customWidth="1"/>
    <col min="15366" max="15393" width="9.140625" style="13"/>
    <col min="15394" max="15394" width="11" style="13" customWidth="1"/>
    <col min="15395" max="15616" width="9.140625" style="13"/>
    <col min="15617" max="15617" width="14" style="13" bestFit="1" customWidth="1"/>
    <col min="15618" max="15618" width="14.85546875" style="13" customWidth="1"/>
    <col min="15619" max="15620" width="9.140625" style="13"/>
    <col min="15621" max="15621" width="9.140625" style="13" customWidth="1"/>
    <col min="15622" max="15649" width="9.140625" style="13"/>
    <col min="15650" max="15650" width="11" style="13" customWidth="1"/>
    <col min="15651" max="15872" width="9.140625" style="13"/>
    <col min="15873" max="15873" width="14" style="13" bestFit="1" customWidth="1"/>
    <col min="15874" max="15874" width="14.85546875" style="13" customWidth="1"/>
    <col min="15875" max="15876" width="9.140625" style="13"/>
    <col min="15877" max="15877" width="9.140625" style="13" customWidth="1"/>
    <col min="15878" max="15905" width="9.140625" style="13"/>
    <col min="15906" max="15906" width="11" style="13" customWidth="1"/>
    <col min="15907" max="16128" width="9.140625" style="13"/>
    <col min="16129" max="16129" width="14" style="13" bestFit="1" customWidth="1"/>
    <col min="16130" max="16130" width="14.85546875" style="13" customWidth="1"/>
    <col min="16131" max="16132" width="9.140625" style="13"/>
    <col min="16133" max="16133" width="9.140625" style="13" customWidth="1"/>
    <col min="16134" max="16161" width="9.140625" style="13"/>
    <col min="16162" max="16162" width="11" style="13" customWidth="1"/>
    <col min="16163" max="16384" width="9.140625" style="13"/>
  </cols>
  <sheetData>
    <row r="1" spans="1:38" ht="13.5" thickBot="1"/>
    <row r="2" spans="1:38">
      <c r="C2" s="276" t="s">
        <v>1</v>
      </c>
      <c r="D2" s="277">
        <v>1</v>
      </c>
      <c r="E2" s="277">
        <f t="shared" ref="E2:AG2" si="0">D2+1</f>
        <v>2</v>
      </c>
      <c r="F2" s="277">
        <f t="shared" si="0"/>
        <v>3</v>
      </c>
      <c r="G2" s="277">
        <f t="shared" si="0"/>
        <v>4</v>
      </c>
      <c r="H2" s="277">
        <f t="shared" si="0"/>
        <v>5</v>
      </c>
      <c r="I2" s="277">
        <f t="shared" si="0"/>
        <v>6</v>
      </c>
      <c r="J2" s="277">
        <f t="shared" si="0"/>
        <v>7</v>
      </c>
      <c r="K2" s="277">
        <f t="shared" si="0"/>
        <v>8</v>
      </c>
      <c r="L2" s="278">
        <f t="shared" si="0"/>
        <v>9</v>
      </c>
      <c r="M2" s="279">
        <f t="shared" si="0"/>
        <v>10</v>
      </c>
      <c r="N2" s="277">
        <f t="shared" si="0"/>
        <v>11</v>
      </c>
      <c r="O2" s="277">
        <f t="shared" si="0"/>
        <v>12</v>
      </c>
      <c r="P2" s="277">
        <f t="shared" si="0"/>
        <v>13</v>
      </c>
      <c r="Q2" s="277">
        <f t="shared" si="0"/>
        <v>14</v>
      </c>
      <c r="R2" s="277">
        <f t="shared" si="0"/>
        <v>15</v>
      </c>
      <c r="S2" s="277">
        <f t="shared" si="0"/>
        <v>16</v>
      </c>
      <c r="T2" s="277">
        <f t="shared" si="0"/>
        <v>17</v>
      </c>
      <c r="U2" s="277">
        <f t="shared" si="0"/>
        <v>18</v>
      </c>
      <c r="V2" s="277">
        <f t="shared" si="0"/>
        <v>19</v>
      </c>
      <c r="W2" s="277">
        <f t="shared" si="0"/>
        <v>20</v>
      </c>
      <c r="X2" s="277">
        <f t="shared" si="0"/>
        <v>21</v>
      </c>
      <c r="Y2" s="277">
        <f t="shared" si="0"/>
        <v>22</v>
      </c>
      <c r="Z2" s="277">
        <f t="shared" si="0"/>
        <v>23</v>
      </c>
      <c r="AA2" s="277">
        <f t="shared" si="0"/>
        <v>24</v>
      </c>
      <c r="AB2" s="277">
        <f t="shared" si="0"/>
        <v>25</v>
      </c>
      <c r="AC2" s="277">
        <f t="shared" si="0"/>
        <v>26</v>
      </c>
      <c r="AD2" s="277">
        <f t="shared" si="0"/>
        <v>27</v>
      </c>
      <c r="AE2" s="277">
        <f t="shared" si="0"/>
        <v>28</v>
      </c>
      <c r="AF2" s="277">
        <f t="shared" si="0"/>
        <v>29</v>
      </c>
      <c r="AG2" s="280">
        <f t="shared" si="0"/>
        <v>30</v>
      </c>
      <c r="AH2" s="281" t="s">
        <v>0</v>
      </c>
    </row>
    <row r="3" spans="1:38" ht="13.5" thickBot="1">
      <c r="B3" s="13" t="e">
        <f>B6+B43+B80+B117+B154+B191+B227+B265+B303</f>
        <v>#VALUE!</v>
      </c>
      <c r="C3" s="282"/>
      <c r="D3" s="283">
        <v>2015</v>
      </c>
      <c r="E3" s="283">
        <f t="shared" ref="E3:AG3" si="1">1+D3</f>
        <v>2016</v>
      </c>
      <c r="F3" s="283">
        <f t="shared" si="1"/>
        <v>2017</v>
      </c>
      <c r="G3" s="283">
        <f t="shared" si="1"/>
        <v>2018</v>
      </c>
      <c r="H3" s="283">
        <f t="shared" si="1"/>
        <v>2019</v>
      </c>
      <c r="I3" s="283">
        <f t="shared" si="1"/>
        <v>2020</v>
      </c>
      <c r="J3" s="283">
        <f t="shared" si="1"/>
        <v>2021</v>
      </c>
      <c r="K3" s="283">
        <f t="shared" si="1"/>
        <v>2022</v>
      </c>
      <c r="L3" s="284">
        <f t="shared" si="1"/>
        <v>2023</v>
      </c>
      <c r="M3" s="285">
        <f t="shared" si="1"/>
        <v>2024</v>
      </c>
      <c r="N3" s="283">
        <f t="shared" si="1"/>
        <v>2025</v>
      </c>
      <c r="O3" s="283">
        <f t="shared" si="1"/>
        <v>2026</v>
      </c>
      <c r="P3" s="283">
        <f t="shared" si="1"/>
        <v>2027</v>
      </c>
      <c r="Q3" s="283">
        <f t="shared" si="1"/>
        <v>2028</v>
      </c>
      <c r="R3" s="283">
        <f t="shared" si="1"/>
        <v>2029</v>
      </c>
      <c r="S3" s="283">
        <f t="shared" si="1"/>
        <v>2030</v>
      </c>
      <c r="T3" s="283">
        <f t="shared" si="1"/>
        <v>2031</v>
      </c>
      <c r="U3" s="283">
        <f t="shared" si="1"/>
        <v>2032</v>
      </c>
      <c r="V3" s="283">
        <f t="shared" si="1"/>
        <v>2033</v>
      </c>
      <c r="W3" s="283">
        <f t="shared" si="1"/>
        <v>2034</v>
      </c>
      <c r="X3" s="283">
        <f t="shared" si="1"/>
        <v>2035</v>
      </c>
      <c r="Y3" s="283">
        <f t="shared" si="1"/>
        <v>2036</v>
      </c>
      <c r="Z3" s="283">
        <f t="shared" si="1"/>
        <v>2037</v>
      </c>
      <c r="AA3" s="283">
        <f t="shared" si="1"/>
        <v>2038</v>
      </c>
      <c r="AB3" s="283">
        <f t="shared" si="1"/>
        <v>2039</v>
      </c>
      <c r="AC3" s="283">
        <f t="shared" si="1"/>
        <v>2040</v>
      </c>
      <c r="AD3" s="283">
        <f t="shared" si="1"/>
        <v>2041</v>
      </c>
      <c r="AE3" s="283">
        <f t="shared" si="1"/>
        <v>2042</v>
      </c>
      <c r="AF3" s="283">
        <f t="shared" si="1"/>
        <v>2043</v>
      </c>
      <c r="AG3" s="286">
        <f t="shared" si="1"/>
        <v>2044</v>
      </c>
      <c r="AH3" s="287"/>
    </row>
    <row r="4" spans="1:38" ht="13.5" thickBot="1">
      <c r="B4" s="15" t="e">
        <f>AH4</f>
        <v>#VALUE!</v>
      </c>
      <c r="C4" s="288" t="s">
        <v>256</v>
      </c>
      <c r="D4" s="289" t="e">
        <f>D7+D44+D81+D118+D155+D192+D228+D266+D304</f>
        <v>#VALUE!</v>
      </c>
      <c r="E4" s="289" t="e">
        <f t="shared" ref="E4:AG4" si="2">E7+E44+E81+E118+E155+E192+E228+E266+E304</f>
        <v>#VALUE!</v>
      </c>
      <c r="F4" s="289" t="e">
        <f t="shared" si="2"/>
        <v>#VALUE!</v>
      </c>
      <c r="G4" s="289" t="e">
        <f t="shared" si="2"/>
        <v>#VALUE!</v>
      </c>
      <c r="H4" s="289" t="e">
        <f t="shared" si="2"/>
        <v>#VALUE!</v>
      </c>
      <c r="I4" s="289" t="e">
        <f t="shared" si="2"/>
        <v>#VALUE!</v>
      </c>
      <c r="J4" s="289" t="e">
        <f t="shared" si="2"/>
        <v>#VALUE!</v>
      </c>
      <c r="K4" s="289" t="e">
        <f t="shared" si="2"/>
        <v>#VALUE!</v>
      </c>
      <c r="L4" s="289" t="e">
        <f t="shared" si="2"/>
        <v>#VALUE!</v>
      </c>
      <c r="M4" s="289" t="e">
        <f t="shared" si="2"/>
        <v>#VALUE!</v>
      </c>
      <c r="N4" s="289" t="e">
        <f t="shared" si="2"/>
        <v>#VALUE!</v>
      </c>
      <c r="O4" s="289" t="e">
        <f t="shared" si="2"/>
        <v>#VALUE!</v>
      </c>
      <c r="P4" s="289" t="e">
        <f t="shared" si="2"/>
        <v>#VALUE!</v>
      </c>
      <c r="Q4" s="289" t="e">
        <f t="shared" si="2"/>
        <v>#VALUE!</v>
      </c>
      <c r="R4" s="289" t="e">
        <f t="shared" si="2"/>
        <v>#VALUE!</v>
      </c>
      <c r="S4" s="289" t="e">
        <f t="shared" si="2"/>
        <v>#VALUE!</v>
      </c>
      <c r="T4" s="289" t="e">
        <f t="shared" si="2"/>
        <v>#VALUE!</v>
      </c>
      <c r="U4" s="289" t="e">
        <f t="shared" si="2"/>
        <v>#VALUE!</v>
      </c>
      <c r="V4" s="289" t="e">
        <f t="shared" si="2"/>
        <v>#VALUE!</v>
      </c>
      <c r="W4" s="289" t="e">
        <f t="shared" si="2"/>
        <v>#VALUE!</v>
      </c>
      <c r="X4" s="289" t="e">
        <f t="shared" si="2"/>
        <v>#VALUE!</v>
      </c>
      <c r="Y4" s="289" t="e">
        <f t="shared" si="2"/>
        <v>#VALUE!</v>
      </c>
      <c r="Z4" s="289" t="e">
        <f t="shared" si="2"/>
        <v>#VALUE!</v>
      </c>
      <c r="AA4" s="289" t="e">
        <f t="shared" si="2"/>
        <v>#VALUE!</v>
      </c>
      <c r="AB4" s="289" t="e">
        <f t="shared" si="2"/>
        <v>#VALUE!</v>
      </c>
      <c r="AC4" s="289" t="e">
        <f t="shared" si="2"/>
        <v>#VALUE!</v>
      </c>
      <c r="AD4" s="289" t="e">
        <f t="shared" si="2"/>
        <v>#VALUE!</v>
      </c>
      <c r="AE4" s="289" t="e">
        <f t="shared" si="2"/>
        <v>#VALUE!</v>
      </c>
      <c r="AF4" s="289" t="e">
        <f t="shared" si="2"/>
        <v>#VALUE!</v>
      </c>
      <c r="AG4" s="289" t="e">
        <f t="shared" si="2"/>
        <v>#VALUE!</v>
      </c>
      <c r="AH4" s="290" t="e">
        <f>SUM(D4:AG4)</f>
        <v>#VALUE!</v>
      </c>
    </row>
    <row r="5" spans="1:38" ht="13.5" thickBot="1"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  <c r="U5" s="291"/>
      <c r="V5" s="291"/>
      <c r="W5" s="291"/>
      <c r="X5" s="291"/>
      <c r="Y5" s="291"/>
      <c r="Z5" s="291"/>
      <c r="AA5" s="291"/>
      <c r="AB5" s="291"/>
      <c r="AC5" s="291"/>
      <c r="AD5" s="291"/>
      <c r="AE5" s="291"/>
      <c r="AF5" s="291"/>
      <c r="AG5" s="291"/>
      <c r="AH5" s="291"/>
    </row>
    <row r="6" spans="1:38">
      <c r="A6" s="292">
        <v>54</v>
      </c>
      <c r="B6" s="13" t="e">
        <v>#VALUE!</v>
      </c>
      <c r="C6" s="293" t="s">
        <v>257</v>
      </c>
      <c r="D6" s="294"/>
      <c r="E6" s="295">
        <v>30</v>
      </c>
      <c r="F6" s="294"/>
      <c r="G6" s="294"/>
      <c r="H6" s="294"/>
      <c r="I6" s="294"/>
      <c r="J6" s="294"/>
      <c r="K6" s="294"/>
      <c r="L6" s="294"/>
      <c r="M6" s="294"/>
      <c r="N6" s="294"/>
      <c r="O6" s="294"/>
      <c r="P6" s="294"/>
      <c r="Q6" s="294"/>
      <c r="R6" s="294"/>
      <c r="S6" s="294"/>
      <c r="T6" s="294"/>
      <c r="U6" s="294"/>
      <c r="V6" s="294"/>
      <c r="W6" s="294"/>
      <c r="X6" s="294"/>
      <c r="Y6" s="294"/>
      <c r="Z6" s="294"/>
      <c r="AA6" s="294"/>
      <c r="AB6" s="294"/>
      <c r="AC6" s="294"/>
      <c r="AD6" s="294"/>
      <c r="AE6" s="294"/>
      <c r="AF6" s="294"/>
      <c r="AG6" s="294"/>
      <c r="AH6" s="296"/>
    </row>
    <row r="7" spans="1:38">
      <c r="A7" s="297">
        <v>196227.14125006919</v>
      </c>
      <c r="B7" s="15">
        <f>AH7</f>
        <v>20517119.663628064</v>
      </c>
      <c r="C7" s="298" t="s">
        <v>256</v>
      </c>
      <c r="D7" s="299">
        <f>'17 R1 INV'!I73</f>
        <v>563262.22957299976</v>
      </c>
      <c r="E7" s="299">
        <f>'17 R1 INV'!J73</f>
        <v>345639.16425320646</v>
      </c>
      <c r="F7" s="299">
        <f>'17 R1 INV'!K73</f>
        <v>302337.51106105704</v>
      </c>
      <c r="G7" s="299">
        <f>'17 R1 INV'!L73</f>
        <v>1393737.2138793978</v>
      </c>
      <c r="H7" s="299">
        <f>'17 R1 INV'!M73</f>
        <v>5209890.1252055857</v>
      </c>
      <c r="I7" s="299">
        <f>'17 R1 INV'!N73</f>
        <v>727898.33131925284</v>
      </c>
      <c r="J7" s="299">
        <f>'17 R1 INV'!O73</f>
        <v>1713105.5265664214</v>
      </c>
      <c r="K7" s="299">
        <f>'17 R1 INV'!P73</f>
        <v>1191741.8254753242</v>
      </c>
      <c r="L7" s="299">
        <f>'17 R1 INV'!Q73</f>
        <v>1924165.9188391753</v>
      </c>
      <c r="M7" s="299">
        <f>'17 R1 INV'!R73</f>
        <v>999778.07055976056</v>
      </c>
      <c r="N7" s="299">
        <f>'17 R1 INV'!S73</f>
        <v>2653505.4796216656</v>
      </c>
      <c r="O7" s="299">
        <f>'17 R1 INV'!T73</f>
        <v>2353010.2054911945</v>
      </c>
      <c r="P7" s="299">
        <f>'17 R1 INV'!U73</f>
        <v>68386.753752136574</v>
      </c>
      <c r="Q7" s="299">
        <f>'17 R1 INV'!V73</f>
        <v>68386.753752136574</v>
      </c>
      <c r="R7" s="299">
        <f>'17 R1 INV'!W73</f>
        <v>68386.753752136574</v>
      </c>
      <c r="S7" s="299">
        <f>'17 R1 INV'!X73</f>
        <v>63098.753752136574</v>
      </c>
      <c r="T7" s="299">
        <f>'17 R1 INV'!Y73</f>
        <v>63098.753752136574</v>
      </c>
      <c r="U7" s="299">
        <f>'17 R1 INV'!Z73</f>
        <v>63098.753752136574</v>
      </c>
      <c r="V7" s="299">
        <f>'17 R1 INV'!AA73</f>
        <v>63098.753752136574</v>
      </c>
      <c r="W7" s="299">
        <f>'17 R1 INV'!AB73</f>
        <v>63098.753752136574</v>
      </c>
      <c r="X7" s="299">
        <f>'17 R1 INV'!AC73</f>
        <v>68793.753752136574</v>
      </c>
      <c r="Y7" s="299">
        <f>'17 R1 INV'!AD73</f>
        <v>59438.753752136574</v>
      </c>
      <c r="Z7" s="299">
        <f>'17 R1 INV'!AE73</f>
        <v>59438.753752136574</v>
      </c>
      <c r="AA7" s="299">
        <f>'17 R1 INV'!AF73</f>
        <v>59438.753752136574</v>
      </c>
      <c r="AB7" s="299">
        <f>'17 R1 INV'!AG73</f>
        <v>59438.753752136574</v>
      </c>
      <c r="AC7" s="299">
        <f>'17 R1 INV'!AH73</f>
        <v>68793.753752136574</v>
      </c>
      <c r="AD7" s="299">
        <f>'17 R1 INV'!AI73</f>
        <v>60252.753752136574</v>
      </c>
      <c r="AE7" s="299">
        <f>'17 R1 INV'!AJ73</f>
        <v>61066.753752136574</v>
      </c>
      <c r="AF7" s="299">
        <f>'17 R1 INV'!AK73</f>
        <v>62284.753752136574</v>
      </c>
      <c r="AG7" s="299">
        <f>'17 R1 INV'!AL73</f>
        <v>59447.247996732927</v>
      </c>
      <c r="AH7" s="300">
        <f>SUM(D7:AG7)</f>
        <v>20517119.663628064</v>
      </c>
    </row>
    <row r="8" spans="1:38">
      <c r="C8" s="301" t="s">
        <v>1</v>
      </c>
      <c r="D8" s="302">
        <v>1</v>
      </c>
      <c r="E8" s="302">
        <f t="shared" ref="E8:AG8" si="3">D8+1</f>
        <v>2</v>
      </c>
      <c r="F8" s="302">
        <f t="shared" si="3"/>
        <v>3</v>
      </c>
      <c r="G8" s="302">
        <f t="shared" si="3"/>
        <v>4</v>
      </c>
      <c r="H8" s="302">
        <f t="shared" si="3"/>
        <v>5</v>
      </c>
      <c r="I8" s="302">
        <f t="shared" si="3"/>
        <v>6</v>
      </c>
      <c r="J8" s="302">
        <f t="shared" si="3"/>
        <v>7</v>
      </c>
      <c r="K8" s="302">
        <f t="shared" si="3"/>
        <v>8</v>
      </c>
      <c r="L8" s="302">
        <f t="shared" si="3"/>
        <v>9</v>
      </c>
      <c r="M8" s="302">
        <f t="shared" si="3"/>
        <v>10</v>
      </c>
      <c r="N8" s="302">
        <f t="shared" si="3"/>
        <v>11</v>
      </c>
      <c r="O8" s="302">
        <f t="shared" si="3"/>
        <v>12</v>
      </c>
      <c r="P8" s="302">
        <f t="shared" si="3"/>
        <v>13</v>
      </c>
      <c r="Q8" s="302">
        <f t="shared" si="3"/>
        <v>14</v>
      </c>
      <c r="R8" s="302">
        <f t="shared" si="3"/>
        <v>15</v>
      </c>
      <c r="S8" s="302">
        <f t="shared" si="3"/>
        <v>16</v>
      </c>
      <c r="T8" s="302">
        <f t="shared" si="3"/>
        <v>17</v>
      </c>
      <c r="U8" s="302">
        <f t="shared" si="3"/>
        <v>18</v>
      </c>
      <c r="V8" s="302">
        <f t="shared" si="3"/>
        <v>19</v>
      </c>
      <c r="W8" s="302">
        <f t="shared" si="3"/>
        <v>20</v>
      </c>
      <c r="X8" s="302">
        <f t="shared" si="3"/>
        <v>21</v>
      </c>
      <c r="Y8" s="302">
        <f t="shared" si="3"/>
        <v>22</v>
      </c>
      <c r="Z8" s="302">
        <f t="shared" si="3"/>
        <v>23</v>
      </c>
      <c r="AA8" s="302">
        <f t="shared" si="3"/>
        <v>24</v>
      </c>
      <c r="AB8" s="302">
        <f t="shared" si="3"/>
        <v>25</v>
      </c>
      <c r="AC8" s="302">
        <f t="shared" si="3"/>
        <v>26</v>
      </c>
      <c r="AD8" s="302">
        <f t="shared" si="3"/>
        <v>27</v>
      </c>
      <c r="AE8" s="302">
        <f t="shared" si="3"/>
        <v>28</v>
      </c>
      <c r="AF8" s="302">
        <f t="shared" si="3"/>
        <v>29</v>
      </c>
      <c r="AG8" s="302">
        <f t="shared" si="3"/>
        <v>30</v>
      </c>
      <c r="AH8" s="303" t="s">
        <v>0</v>
      </c>
    </row>
    <row r="9" spans="1:38">
      <c r="C9" s="304">
        <v>0</v>
      </c>
      <c r="D9" s="305" t="str">
        <f t="shared" ref="D9:T10" si="4">IF(($E$6-$C9)&gt;=($E$6-D$8),"",D$7/($E$6-D$8))</f>
        <v/>
      </c>
      <c r="E9" s="305" t="str">
        <f t="shared" si="4"/>
        <v/>
      </c>
      <c r="F9" s="305" t="str">
        <f t="shared" si="4"/>
        <v/>
      </c>
      <c r="G9" s="305" t="str">
        <f t="shared" si="4"/>
        <v/>
      </c>
      <c r="H9" s="305" t="str">
        <f t="shared" si="4"/>
        <v/>
      </c>
      <c r="I9" s="305" t="str">
        <f t="shared" si="4"/>
        <v/>
      </c>
      <c r="J9" s="305" t="str">
        <f t="shared" si="4"/>
        <v/>
      </c>
      <c r="K9" s="305" t="str">
        <f t="shared" si="4"/>
        <v/>
      </c>
      <c r="L9" s="305" t="str">
        <f t="shared" si="4"/>
        <v/>
      </c>
      <c r="M9" s="305" t="str">
        <f t="shared" si="4"/>
        <v/>
      </c>
      <c r="N9" s="305" t="str">
        <f t="shared" si="4"/>
        <v/>
      </c>
      <c r="O9" s="305" t="str">
        <f t="shared" si="4"/>
        <v/>
      </c>
      <c r="P9" s="305" t="str">
        <f t="shared" si="4"/>
        <v/>
      </c>
      <c r="Q9" s="305" t="str">
        <f t="shared" si="4"/>
        <v/>
      </c>
      <c r="R9" s="305" t="str">
        <f t="shared" si="4"/>
        <v/>
      </c>
      <c r="S9" s="305" t="str">
        <f t="shared" si="4"/>
        <v/>
      </c>
      <c r="T9" s="305" t="str">
        <f t="shared" si="4"/>
        <v/>
      </c>
      <c r="U9" s="305" t="str">
        <f t="shared" ref="U9:AG10" si="5">IF(($E$6-$C9)&gt;=($E$6-U$8),"",U$7/($E$6-U$8))</f>
        <v/>
      </c>
      <c r="V9" s="305" t="str">
        <f t="shared" si="5"/>
        <v/>
      </c>
      <c r="W9" s="305" t="str">
        <f t="shared" si="5"/>
        <v/>
      </c>
      <c r="X9" s="305" t="str">
        <f t="shared" si="5"/>
        <v/>
      </c>
      <c r="Y9" s="305" t="str">
        <f t="shared" si="5"/>
        <v/>
      </c>
      <c r="Z9" s="305" t="str">
        <f t="shared" si="5"/>
        <v/>
      </c>
      <c r="AA9" s="305" t="str">
        <f t="shared" si="5"/>
        <v/>
      </c>
      <c r="AB9" s="305" t="str">
        <f t="shared" si="5"/>
        <v/>
      </c>
      <c r="AC9" s="305" t="str">
        <f t="shared" si="5"/>
        <v/>
      </c>
      <c r="AD9" s="305" t="str">
        <f t="shared" si="5"/>
        <v/>
      </c>
      <c r="AE9" s="305" t="str">
        <f t="shared" si="5"/>
        <v/>
      </c>
      <c r="AF9" s="305" t="str">
        <f t="shared" si="5"/>
        <v/>
      </c>
      <c r="AG9" s="305" t="str">
        <f t="shared" si="5"/>
        <v/>
      </c>
      <c r="AH9" s="306">
        <f t="shared" ref="AH9:AH39" si="6">SUM(D9:AG9)</f>
        <v>0</v>
      </c>
      <c r="AL9" s="297">
        <f ca="1">SUMIF(C9:AH337,C9,AH9:AH337)</f>
        <v>0</v>
      </c>
    </row>
    <row r="10" spans="1:38">
      <c r="C10" s="307">
        <f t="shared" ref="C10:C39" si="7">C9+1</f>
        <v>1</v>
      </c>
      <c r="D10" s="305" t="str">
        <f>IF(($E$6-$C10)&gt;=($E$6-D$8),"",D$7/($E$6-D$8))</f>
        <v/>
      </c>
      <c r="E10" s="305" t="str">
        <f t="shared" si="4"/>
        <v/>
      </c>
      <c r="F10" s="305" t="str">
        <f t="shared" si="4"/>
        <v/>
      </c>
      <c r="G10" s="305" t="str">
        <f t="shared" si="4"/>
        <v/>
      </c>
      <c r="H10" s="305" t="str">
        <f t="shared" si="4"/>
        <v/>
      </c>
      <c r="I10" s="305" t="str">
        <f t="shared" si="4"/>
        <v/>
      </c>
      <c r="J10" s="305" t="str">
        <f t="shared" si="4"/>
        <v/>
      </c>
      <c r="K10" s="305" t="str">
        <f t="shared" si="4"/>
        <v/>
      </c>
      <c r="L10" s="305" t="str">
        <f t="shared" si="4"/>
        <v/>
      </c>
      <c r="M10" s="305" t="str">
        <f t="shared" si="4"/>
        <v/>
      </c>
      <c r="N10" s="305" t="str">
        <f t="shared" si="4"/>
        <v/>
      </c>
      <c r="O10" s="305" t="str">
        <f t="shared" si="4"/>
        <v/>
      </c>
      <c r="P10" s="305" t="str">
        <f t="shared" si="4"/>
        <v/>
      </c>
      <c r="Q10" s="305" t="str">
        <f t="shared" si="4"/>
        <v/>
      </c>
      <c r="R10" s="305" t="str">
        <f t="shared" si="4"/>
        <v/>
      </c>
      <c r="S10" s="305" t="str">
        <f t="shared" si="4"/>
        <v/>
      </c>
      <c r="T10" s="305" t="str">
        <f t="shared" si="4"/>
        <v/>
      </c>
      <c r="U10" s="305" t="str">
        <f t="shared" si="5"/>
        <v/>
      </c>
      <c r="V10" s="305" t="str">
        <f t="shared" si="5"/>
        <v/>
      </c>
      <c r="W10" s="305" t="str">
        <f t="shared" si="5"/>
        <v/>
      </c>
      <c r="X10" s="305" t="str">
        <f t="shared" si="5"/>
        <v/>
      </c>
      <c r="Y10" s="305" t="str">
        <f t="shared" si="5"/>
        <v/>
      </c>
      <c r="Z10" s="305" t="str">
        <f t="shared" si="5"/>
        <v/>
      </c>
      <c r="AA10" s="305" t="str">
        <f t="shared" si="5"/>
        <v/>
      </c>
      <c r="AB10" s="305" t="str">
        <f t="shared" si="5"/>
        <v/>
      </c>
      <c r="AC10" s="305" t="str">
        <f t="shared" si="5"/>
        <v/>
      </c>
      <c r="AD10" s="305" t="str">
        <f>IF(($E$6-$C10)&gt;=($E$6-AD$8),"",AD$7/($E$6-AD$8))</f>
        <v/>
      </c>
      <c r="AE10" s="305" t="str">
        <f>IF(($E$6-$C10)&gt;=($E$6-AE$8),"",AE$7/($E$6-AE$8))</f>
        <v/>
      </c>
      <c r="AF10" s="305" t="str">
        <f>IF(($E$6-$C10)&gt;=($E$6-AF$8),"",AF$7/($E$6-AF$8))</f>
        <v/>
      </c>
      <c r="AG10" s="305" t="str">
        <f>IF(($E$6-$C10)&gt;=($E$6-AG$8),"",AG$7/($E$6-AG$8))</f>
        <v/>
      </c>
      <c r="AH10" s="306">
        <f t="shared" si="6"/>
        <v>0</v>
      </c>
      <c r="AL10" s="297">
        <f t="shared" ref="AL10:AL39" ca="1" si="8">SUMIF(C10:AH338,C10,AH10:AH338)</f>
        <v>0</v>
      </c>
    </row>
    <row r="11" spans="1:38">
      <c r="C11" s="307">
        <f t="shared" si="7"/>
        <v>2</v>
      </c>
      <c r="D11" s="308">
        <f>D7/29</f>
        <v>19422.835502517231</v>
      </c>
      <c r="E11" s="305"/>
      <c r="F11" s="305"/>
      <c r="G11" s="305"/>
      <c r="H11" s="305"/>
      <c r="I11" s="305"/>
      <c r="J11" s="305"/>
      <c r="K11" s="305"/>
      <c r="L11" s="305"/>
      <c r="M11" s="309"/>
      <c r="N11" s="305"/>
      <c r="O11" s="305"/>
      <c r="P11" s="305"/>
      <c r="Q11" s="305"/>
      <c r="R11" s="305"/>
      <c r="S11" s="305"/>
      <c r="T11" s="305"/>
      <c r="U11" s="305"/>
      <c r="V11" s="305"/>
      <c r="W11" s="305"/>
      <c r="X11" s="305"/>
      <c r="Y11" s="305"/>
      <c r="Z11" s="305"/>
      <c r="AA11" s="305"/>
      <c r="AB11" s="305"/>
      <c r="AC11" s="305"/>
      <c r="AD11" s="305"/>
      <c r="AE11" s="305"/>
      <c r="AF11" s="305"/>
      <c r="AG11" s="305"/>
      <c r="AH11" s="306">
        <f t="shared" si="6"/>
        <v>19422.835502517231</v>
      </c>
      <c r="AL11" s="297" t="e">
        <f t="shared" ca="1" si="8"/>
        <v>#VALUE!</v>
      </c>
    </row>
    <row r="12" spans="1:38">
      <c r="C12" s="307">
        <f t="shared" si="7"/>
        <v>3</v>
      </c>
      <c r="D12" s="305">
        <f>D11</f>
        <v>19422.835502517231</v>
      </c>
      <c r="E12" s="308">
        <f>E7/28</f>
        <v>12344.255866185946</v>
      </c>
      <c r="F12" s="305"/>
      <c r="G12" s="305"/>
      <c r="H12" s="305"/>
      <c r="I12" s="305"/>
      <c r="J12" s="305"/>
      <c r="K12" s="305"/>
      <c r="L12" s="305"/>
      <c r="M12" s="309"/>
      <c r="N12" s="305"/>
      <c r="O12" s="305"/>
      <c r="P12" s="305"/>
      <c r="Q12" s="305"/>
      <c r="R12" s="305"/>
      <c r="S12" s="305"/>
      <c r="T12" s="305"/>
      <c r="U12" s="305"/>
      <c r="V12" s="305"/>
      <c r="W12" s="305"/>
      <c r="X12" s="305"/>
      <c r="Y12" s="305"/>
      <c r="Z12" s="305"/>
      <c r="AA12" s="305"/>
      <c r="AB12" s="305"/>
      <c r="AC12" s="305"/>
      <c r="AD12" s="305"/>
      <c r="AE12" s="305"/>
      <c r="AF12" s="305"/>
      <c r="AG12" s="305"/>
      <c r="AH12" s="306">
        <f t="shared" si="6"/>
        <v>31767.091368703179</v>
      </c>
      <c r="AL12" s="297" t="e">
        <f t="shared" ca="1" si="8"/>
        <v>#VALUE!</v>
      </c>
    </row>
    <row r="13" spans="1:38">
      <c r="C13" s="307">
        <f t="shared" si="7"/>
        <v>4</v>
      </c>
      <c r="D13" s="305">
        <f t="shared" ref="D13:R28" si="9">D12</f>
        <v>19422.835502517231</v>
      </c>
      <c r="E13" s="305">
        <f>E12</f>
        <v>12344.255866185946</v>
      </c>
      <c r="F13" s="308">
        <f>F7/27</f>
        <v>11197.685594853965</v>
      </c>
      <c r="G13" s="305"/>
      <c r="H13" s="305"/>
      <c r="I13" s="305"/>
      <c r="J13" s="305"/>
      <c r="K13" s="305"/>
      <c r="L13" s="305"/>
      <c r="M13" s="309"/>
      <c r="N13" s="305"/>
      <c r="O13" s="305"/>
      <c r="P13" s="305"/>
      <c r="Q13" s="305"/>
      <c r="R13" s="305"/>
      <c r="S13" s="305"/>
      <c r="T13" s="305"/>
      <c r="U13" s="305"/>
      <c r="V13" s="305"/>
      <c r="W13" s="305"/>
      <c r="X13" s="305"/>
      <c r="Y13" s="305"/>
      <c r="Z13" s="305"/>
      <c r="AA13" s="305"/>
      <c r="AB13" s="305"/>
      <c r="AC13" s="305"/>
      <c r="AD13" s="305"/>
      <c r="AE13" s="305"/>
      <c r="AF13" s="305"/>
      <c r="AG13" s="305"/>
      <c r="AH13" s="306">
        <f t="shared" si="6"/>
        <v>42964.776963557146</v>
      </c>
      <c r="AL13" s="297" t="e">
        <f t="shared" ca="1" si="8"/>
        <v>#VALUE!</v>
      </c>
    </row>
    <row r="14" spans="1:38">
      <c r="C14" s="307">
        <f t="shared" si="7"/>
        <v>5</v>
      </c>
      <c r="D14" s="305">
        <f t="shared" si="9"/>
        <v>19422.835502517231</v>
      </c>
      <c r="E14" s="305">
        <f t="shared" si="9"/>
        <v>12344.255866185946</v>
      </c>
      <c r="F14" s="305">
        <f>F13</f>
        <v>11197.685594853965</v>
      </c>
      <c r="G14" s="308">
        <f>G7/26</f>
        <v>53605.277456899916</v>
      </c>
      <c r="H14" s="305"/>
      <c r="I14" s="305"/>
      <c r="J14" s="305"/>
      <c r="K14" s="305"/>
      <c r="L14" s="305"/>
      <c r="M14" s="309"/>
      <c r="N14" s="305"/>
      <c r="O14" s="305"/>
      <c r="P14" s="305"/>
      <c r="Q14" s="305"/>
      <c r="R14" s="305"/>
      <c r="S14" s="305"/>
      <c r="T14" s="305"/>
      <c r="U14" s="305"/>
      <c r="V14" s="305"/>
      <c r="W14" s="305"/>
      <c r="X14" s="305"/>
      <c r="Y14" s="305"/>
      <c r="Z14" s="305"/>
      <c r="AA14" s="305"/>
      <c r="AB14" s="305"/>
      <c r="AC14" s="305"/>
      <c r="AD14" s="305"/>
      <c r="AE14" s="305"/>
      <c r="AF14" s="305"/>
      <c r="AG14" s="305"/>
      <c r="AH14" s="306">
        <f t="shared" si="6"/>
        <v>96570.054420457061</v>
      </c>
      <c r="AL14" s="297" t="e">
        <f t="shared" ca="1" si="8"/>
        <v>#VALUE!</v>
      </c>
    </row>
    <row r="15" spans="1:38">
      <c r="C15" s="307">
        <f t="shared" si="7"/>
        <v>6</v>
      </c>
      <c r="D15" s="305">
        <f t="shared" si="9"/>
        <v>19422.835502517231</v>
      </c>
      <c r="E15" s="305">
        <f t="shared" si="9"/>
        <v>12344.255866185946</v>
      </c>
      <c r="F15" s="305">
        <f t="shared" si="9"/>
        <v>11197.685594853965</v>
      </c>
      <c r="G15" s="305">
        <f>G14</f>
        <v>53605.277456899916</v>
      </c>
      <c r="H15" s="308">
        <f>H7/25</f>
        <v>208395.60500822344</v>
      </c>
      <c r="I15" s="305"/>
      <c r="J15" s="305"/>
      <c r="K15" s="305"/>
      <c r="L15" s="305"/>
      <c r="M15" s="309"/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305"/>
      <c r="Z15" s="305"/>
      <c r="AA15" s="305"/>
      <c r="AB15" s="305"/>
      <c r="AC15" s="305"/>
      <c r="AD15" s="305"/>
      <c r="AE15" s="305"/>
      <c r="AF15" s="305"/>
      <c r="AG15" s="305"/>
      <c r="AH15" s="306">
        <f t="shared" si="6"/>
        <v>304965.65942868049</v>
      </c>
      <c r="AL15" s="297" t="e">
        <f t="shared" ca="1" si="8"/>
        <v>#VALUE!</v>
      </c>
    </row>
    <row r="16" spans="1:38">
      <c r="C16" s="307">
        <f t="shared" si="7"/>
        <v>7</v>
      </c>
      <c r="D16" s="305">
        <f t="shared" si="9"/>
        <v>19422.835502517231</v>
      </c>
      <c r="E16" s="305">
        <f t="shared" si="9"/>
        <v>12344.255866185946</v>
      </c>
      <c r="F16" s="305">
        <f t="shared" si="9"/>
        <v>11197.685594853965</v>
      </c>
      <c r="G16" s="305">
        <f t="shared" si="9"/>
        <v>53605.277456899916</v>
      </c>
      <c r="H16" s="305">
        <f>H15</f>
        <v>208395.60500822344</v>
      </c>
      <c r="I16" s="308">
        <f>I7/24</f>
        <v>30329.097138302201</v>
      </c>
      <c r="J16" s="305"/>
      <c r="K16" s="305"/>
      <c r="L16" s="305"/>
      <c r="M16" s="309"/>
      <c r="N16" s="305"/>
      <c r="O16" s="305"/>
      <c r="P16" s="305"/>
      <c r="Q16" s="305"/>
      <c r="R16" s="305"/>
      <c r="S16" s="305"/>
      <c r="T16" s="305"/>
      <c r="U16" s="305"/>
      <c r="V16" s="305"/>
      <c r="W16" s="305"/>
      <c r="X16" s="305"/>
      <c r="Y16" s="305"/>
      <c r="Z16" s="305"/>
      <c r="AA16" s="305"/>
      <c r="AB16" s="305"/>
      <c r="AC16" s="305"/>
      <c r="AD16" s="305"/>
      <c r="AE16" s="305"/>
      <c r="AF16" s="305"/>
      <c r="AG16" s="305"/>
      <c r="AH16" s="306">
        <f t="shared" si="6"/>
        <v>335294.75656698272</v>
      </c>
      <c r="AL16" s="297" t="e">
        <f t="shared" ca="1" si="8"/>
        <v>#VALUE!</v>
      </c>
    </row>
    <row r="17" spans="3:38">
      <c r="C17" s="307">
        <f t="shared" si="7"/>
        <v>8</v>
      </c>
      <c r="D17" s="305">
        <f t="shared" si="9"/>
        <v>19422.835502517231</v>
      </c>
      <c r="E17" s="305">
        <f t="shared" si="9"/>
        <v>12344.255866185946</v>
      </c>
      <c r="F17" s="305">
        <f t="shared" si="9"/>
        <v>11197.685594853965</v>
      </c>
      <c r="G17" s="305">
        <f t="shared" si="9"/>
        <v>53605.277456899916</v>
      </c>
      <c r="H17" s="305">
        <f t="shared" si="9"/>
        <v>208395.60500822344</v>
      </c>
      <c r="I17" s="305">
        <f>I16</f>
        <v>30329.097138302201</v>
      </c>
      <c r="J17" s="308">
        <f>J7/23</f>
        <v>74482.848981148753</v>
      </c>
      <c r="K17" s="305"/>
      <c r="L17" s="305"/>
      <c r="M17" s="309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6">
        <f t="shared" si="6"/>
        <v>409777.60554813145</v>
      </c>
      <c r="AL17" s="297" t="e">
        <f t="shared" ca="1" si="8"/>
        <v>#VALUE!</v>
      </c>
    </row>
    <row r="18" spans="3:38">
      <c r="C18" s="307">
        <f t="shared" si="7"/>
        <v>9</v>
      </c>
      <c r="D18" s="305">
        <f t="shared" si="9"/>
        <v>19422.835502517231</v>
      </c>
      <c r="E18" s="305">
        <f t="shared" si="9"/>
        <v>12344.255866185946</v>
      </c>
      <c r="F18" s="305">
        <f t="shared" si="9"/>
        <v>11197.685594853965</v>
      </c>
      <c r="G18" s="305">
        <f t="shared" si="9"/>
        <v>53605.277456899916</v>
      </c>
      <c r="H18" s="305">
        <f t="shared" si="9"/>
        <v>208395.60500822344</v>
      </c>
      <c r="I18" s="305">
        <f t="shared" si="9"/>
        <v>30329.097138302201</v>
      </c>
      <c r="J18" s="305">
        <f>J17</f>
        <v>74482.848981148753</v>
      </c>
      <c r="K18" s="308">
        <f>K7/22</f>
        <v>54170.082976151098</v>
      </c>
      <c r="L18" s="305"/>
      <c r="M18" s="309"/>
      <c r="N18" s="305"/>
      <c r="O18" s="305"/>
      <c r="P18" s="305"/>
      <c r="Q18" s="305"/>
      <c r="R18" s="305"/>
      <c r="S18" s="305"/>
      <c r="T18" s="305"/>
      <c r="U18" s="305"/>
      <c r="V18" s="305"/>
      <c r="W18" s="305"/>
      <c r="X18" s="305"/>
      <c r="Y18" s="305"/>
      <c r="Z18" s="305"/>
      <c r="AA18" s="305"/>
      <c r="AB18" s="305"/>
      <c r="AC18" s="305"/>
      <c r="AD18" s="305"/>
      <c r="AE18" s="305"/>
      <c r="AF18" s="305"/>
      <c r="AG18" s="305"/>
      <c r="AH18" s="306">
        <f t="shared" si="6"/>
        <v>463947.68852428254</v>
      </c>
      <c r="AL18" s="297" t="e">
        <f t="shared" ca="1" si="8"/>
        <v>#VALUE!</v>
      </c>
    </row>
    <row r="19" spans="3:38">
      <c r="C19" s="307">
        <f t="shared" si="7"/>
        <v>10</v>
      </c>
      <c r="D19" s="305">
        <f t="shared" si="9"/>
        <v>19422.835502517231</v>
      </c>
      <c r="E19" s="305">
        <f t="shared" si="9"/>
        <v>12344.255866185946</v>
      </c>
      <c r="F19" s="305">
        <f t="shared" si="9"/>
        <v>11197.685594853965</v>
      </c>
      <c r="G19" s="305">
        <f t="shared" si="9"/>
        <v>53605.277456899916</v>
      </c>
      <c r="H19" s="305">
        <f t="shared" si="9"/>
        <v>208395.60500822344</v>
      </c>
      <c r="I19" s="305">
        <f t="shared" si="9"/>
        <v>30329.097138302201</v>
      </c>
      <c r="J19" s="305">
        <f t="shared" si="9"/>
        <v>74482.848981148753</v>
      </c>
      <c r="K19" s="305">
        <f>K18</f>
        <v>54170.082976151098</v>
      </c>
      <c r="L19" s="308">
        <f>L7/21</f>
        <v>91626.948516151198</v>
      </c>
      <c r="M19" s="309"/>
      <c r="N19" s="305"/>
      <c r="O19" s="305"/>
      <c r="P19" s="305"/>
      <c r="Q19" s="305"/>
      <c r="R19" s="305"/>
      <c r="S19" s="305"/>
      <c r="T19" s="305"/>
      <c r="U19" s="305"/>
      <c r="V19" s="305"/>
      <c r="W19" s="305"/>
      <c r="X19" s="305"/>
      <c r="Y19" s="305"/>
      <c r="Z19" s="305"/>
      <c r="AA19" s="305"/>
      <c r="AB19" s="305"/>
      <c r="AC19" s="305"/>
      <c r="AD19" s="305"/>
      <c r="AE19" s="305"/>
      <c r="AF19" s="305"/>
      <c r="AG19" s="305"/>
      <c r="AH19" s="306">
        <f t="shared" si="6"/>
        <v>555574.63704043371</v>
      </c>
      <c r="AL19" s="297" t="e">
        <f t="shared" ca="1" si="8"/>
        <v>#VALUE!</v>
      </c>
    </row>
    <row r="20" spans="3:38">
      <c r="C20" s="307">
        <f t="shared" si="7"/>
        <v>11</v>
      </c>
      <c r="D20" s="305">
        <f t="shared" si="9"/>
        <v>19422.835502517231</v>
      </c>
      <c r="E20" s="305">
        <f t="shared" si="9"/>
        <v>12344.255866185946</v>
      </c>
      <c r="F20" s="305">
        <f t="shared" si="9"/>
        <v>11197.685594853965</v>
      </c>
      <c r="G20" s="305">
        <f t="shared" si="9"/>
        <v>53605.277456899916</v>
      </c>
      <c r="H20" s="305">
        <f t="shared" si="9"/>
        <v>208395.60500822344</v>
      </c>
      <c r="I20" s="305">
        <f t="shared" si="9"/>
        <v>30329.097138302201</v>
      </c>
      <c r="J20" s="305">
        <f t="shared" si="9"/>
        <v>74482.848981148753</v>
      </c>
      <c r="K20" s="305">
        <f t="shared" si="9"/>
        <v>54170.082976151098</v>
      </c>
      <c r="L20" s="305">
        <f>L19</f>
        <v>91626.948516151198</v>
      </c>
      <c r="M20" s="308">
        <f>M7/20</f>
        <v>49988.903527988026</v>
      </c>
      <c r="N20" s="305"/>
      <c r="O20" s="305"/>
      <c r="P20" s="305"/>
      <c r="Q20" s="305"/>
      <c r="R20" s="305"/>
      <c r="S20" s="305"/>
      <c r="T20" s="305"/>
      <c r="U20" s="305"/>
      <c r="V20" s="305"/>
      <c r="W20" s="305"/>
      <c r="X20" s="305"/>
      <c r="Y20" s="305"/>
      <c r="Z20" s="305"/>
      <c r="AA20" s="305"/>
      <c r="AB20" s="305"/>
      <c r="AC20" s="305"/>
      <c r="AD20" s="305"/>
      <c r="AE20" s="305"/>
      <c r="AF20" s="305"/>
      <c r="AG20" s="305"/>
      <c r="AH20" s="306">
        <f t="shared" si="6"/>
        <v>605563.54056842171</v>
      </c>
      <c r="AL20" s="297" t="e">
        <f t="shared" ca="1" si="8"/>
        <v>#VALUE!</v>
      </c>
    </row>
    <row r="21" spans="3:38">
      <c r="C21" s="307">
        <f t="shared" si="7"/>
        <v>12</v>
      </c>
      <c r="D21" s="305">
        <f t="shared" si="9"/>
        <v>19422.835502517231</v>
      </c>
      <c r="E21" s="305">
        <f t="shared" si="9"/>
        <v>12344.255866185946</v>
      </c>
      <c r="F21" s="305">
        <f t="shared" si="9"/>
        <v>11197.685594853965</v>
      </c>
      <c r="G21" s="305">
        <f t="shared" si="9"/>
        <v>53605.277456899916</v>
      </c>
      <c r="H21" s="305">
        <f t="shared" si="9"/>
        <v>208395.60500822344</v>
      </c>
      <c r="I21" s="305">
        <f t="shared" si="9"/>
        <v>30329.097138302201</v>
      </c>
      <c r="J21" s="305">
        <f t="shared" si="9"/>
        <v>74482.848981148753</v>
      </c>
      <c r="K21" s="305">
        <f t="shared" si="9"/>
        <v>54170.082976151098</v>
      </c>
      <c r="L21" s="305">
        <f t="shared" si="9"/>
        <v>91626.948516151198</v>
      </c>
      <c r="M21" s="309">
        <f>M20</f>
        <v>49988.903527988026</v>
      </c>
      <c r="N21" s="308">
        <f>N7/19</f>
        <v>139658.18313798239</v>
      </c>
      <c r="O21" s="305"/>
      <c r="P21" s="305"/>
      <c r="Q21" s="305"/>
      <c r="R21" s="305"/>
      <c r="S21" s="305"/>
      <c r="T21" s="305"/>
      <c r="U21" s="305"/>
      <c r="V21" s="305"/>
      <c r="W21" s="305"/>
      <c r="X21" s="305"/>
      <c r="Y21" s="305"/>
      <c r="Z21" s="305"/>
      <c r="AA21" s="305"/>
      <c r="AB21" s="305"/>
      <c r="AC21" s="305"/>
      <c r="AD21" s="305"/>
      <c r="AE21" s="305"/>
      <c r="AF21" s="305"/>
      <c r="AG21" s="305"/>
      <c r="AH21" s="306">
        <f t="shared" si="6"/>
        <v>745221.7237064041</v>
      </c>
      <c r="AL21" s="297" t="e">
        <f t="shared" ca="1" si="8"/>
        <v>#VALUE!</v>
      </c>
    </row>
    <row r="22" spans="3:38">
      <c r="C22" s="307">
        <f t="shared" si="7"/>
        <v>13</v>
      </c>
      <c r="D22" s="305">
        <f t="shared" si="9"/>
        <v>19422.835502517231</v>
      </c>
      <c r="E22" s="305">
        <f t="shared" si="9"/>
        <v>12344.255866185946</v>
      </c>
      <c r="F22" s="305">
        <f t="shared" si="9"/>
        <v>11197.685594853965</v>
      </c>
      <c r="G22" s="305">
        <f t="shared" si="9"/>
        <v>53605.277456899916</v>
      </c>
      <c r="H22" s="305">
        <f t="shared" si="9"/>
        <v>208395.60500822344</v>
      </c>
      <c r="I22" s="305">
        <f t="shared" si="9"/>
        <v>30329.097138302201</v>
      </c>
      <c r="J22" s="305">
        <f t="shared" si="9"/>
        <v>74482.848981148753</v>
      </c>
      <c r="K22" s="305">
        <f t="shared" si="9"/>
        <v>54170.082976151098</v>
      </c>
      <c r="L22" s="305">
        <f t="shared" si="9"/>
        <v>91626.948516151198</v>
      </c>
      <c r="M22" s="309">
        <f t="shared" si="9"/>
        <v>49988.903527988026</v>
      </c>
      <c r="N22" s="305">
        <f>N21</f>
        <v>139658.18313798239</v>
      </c>
      <c r="O22" s="308">
        <f>O7/18</f>
        <v>130722.78919395525</v>
      </c>
      <c r="P22" s="305"/>
      <c r="Q22" s="305"/>
      <c r="R22" s="305"/>
      <c r="S22" s="305"/>
      <c r="T22" s="305"/>
      <c r="U22" s="305"/>
      <c r="V22" s="305"/>
      <c r="W22" s="305"/>
      <c r="X22" s="305"/>
      <c r="Y22" s="305"/>
      <c r="Z22" s="305"/>
      <c r="AA22" s="305"/>
      <c r="AB22" s="305"/>
      <c r="AC22" s="305"/>
      <c r="AD22" s="305"/>
      <c r="AE22" s="305"/>
      <c r="AF22" s="305"/>
      <c r="AG22" s="305"/>
      <c r="AH22" s="306">
        <f t="shared" si="6"/>
        <v>875944.51290035935</v>
      </c>
      <c r="AL22" s="297" t="e">
        <f t="shared" ca="1" si="8"/>
        <v>#VALUE!</v>
      </c>
    </row>
    <row r="23" spans="3:38">
      <c r="C23" s="307">
        <f t="shared" si="7"/>
        <v>14</v>
      </c>
      <c r="D23" s="305">
        <f t="shared" si="9"/>
        <v>19422.835502517231</v>
      </c>
      <c r="E23" s="305">
        <f t="shared" si="9"/>
        <v>12344.255866185946</v>
      </c>
      <c r="F23" s="305">
        <f t="shared" si="9"/>
        <v>11197.685594853965</v>
      </c>
      <c r="G23" s="305">
        <f t="shared" si="9"/>
        <v>53605.277456899916</v>
      </c>
      <c r="H23" s="305">
        <f t="shared" si="9"/>
        <v>208395.60500822344</v>
      </c>
      <c r="I23" s="305">
        <f t="shared" si="9"/>
        <v>30329.097138302201</v>
      </c>
      <c r="J23" s="305">
        <f t="shared" si="9"/>
        <v>74482.848981148753</v>
      </c>
      <c r="K23" s="305">
        <f t="shared" si="9"/>
        <v>54170.082976151098</v>
      </c>
      <c r="L23" s="305">
        <f t="shared" si="9"/>
        <v>91626.948516151198</v>
      </c>
      <c r="M23" s="309">
        <f t="shared" si="9"/>
        <v>49988.903527988026</v>
      </c>
      <c r="N23" s="305">
        <f t="shared" si="9"/>
        <v>139658.18313798239</v>
      </c>
      <c r="O23" s="305">
        <f>O22</f>
        <v>130722.78919395525</v>
      </c>
      <c r="P23" s="308">
        <f>P7/17</f>
        <v>4022.750220713916</v>
      </c>
      <c r="Q23" s="305"/>
      <c r="R23" s="305"/>
      <c r="S23" s="305"/>
      <c r="T23" s="305"/>
      <c r="U23" s="305"/>
      <c r="V23" s="305"/>
      <c r="W23" s="305"/>
      <c r="X23" s="305"/>
      <c r="Y23" s="305"/>
      <c r="Z23" s="305"/>
      <c r="AA23" s="305"/>
      <c r="AB23" s="305"/>
      <c r="AC23" s="305"/>
      <c r="AD23" s="305"/>
      <c r="AE23" s="305"/>
      <c r="AF23" s="305"/>
      <c r="AG23" s="305"/>
      <c r="AH23" s="306">
        <f t="shared" si="6"/>
        <v>879967.26312107325</v>
      </c>
      <c r="AL23" s="297" t="e">
        <f t="shared" ca="1" si="8"/>
        <v>#VALUE!</v>
      </c>
    </row>
    <row r="24" spans="3:38">
      <c r="C24" s="307">
        <f t="shared" si="7"/>
        <v>15</v>
      </c>
      <c r="D24" s="305">
        <f t="shared" si="9"/>
        <v>19422.835502517231</v>
      </c>
      <c r="E24" s="305">
        <f t="shared" si="9"/>
        <v>12344.255866185946</v>
      </c>
      <c r="F24" s="305">
        <f t="shared" si="9"/>
        <v>11197.685594853965</v>
      </c>
      <c r="G24" s="305">
        <f t="shared" si="9"/>
        <v>53605.277456899916</v>
      </c>
      <c r="H24" s="305">
        <f t="shared" si="9"/>
        <v>208395.60500822344</v>
      </c>
      <c r="I24" s="305">
        <f t="shared" si="9"/>
        <v>30329.097138302201</v>
      </c>
      <c r="J24" s="305">
        <f t="shared" si="9"/>
        <v>74482.848981148753</v>
      </c>
      <c r="K24" s="305">
        <f t="shared" si="9"/>
        <v>54170.082976151098</v>
      </c>
      <c r="L24" s="305">
        <f t="shared" si="9"/>
        <v>91626.948516151198</v>
      </c>
      <c r="M24" s="309">
        <f t="shared" si="9"/>
        <v>49988.903527988026</v>
      </c>
      <c r="N24" s="305">
        <f t="shared" si="9"/>
        <v>139658.18313798239</v>
      </c>
      <c r="O24" s="305">
        <f t="shared" si="9"/>
        <v>130722.78919395525</v>
      </c>
      <c r="P24" s="305">
        <f>P23</f>
        <v>4022.750220713916</v>
      </c>
      <c r="Q24" s="308">
        <f>Q7/16</f>
        <v>4274.1721095085359</v>
      </c>
      <c r="R24" s="305"/>
      <c r="S24" s="305"/>
      <c r="T24" s="305"/>
      <c r="U24" s="305"/>
      <c r="V24" s="305"/>
      <c r="W24" s="305"/>
      <c r="X24" s="305"/>
      <c r="Y24" s="305"/>
      <c r="Z24" s="305"/>
      <c r="AA24" s="305"/>
      <c r="AB24" s="305"/>
      <c r="AC24" s="305"/>
      <c r="AD24" s="305"/>
      <c r="AE24" s="305"/>
      <c r="AF24" s="305"/>
      <c r="AG24" s="305"/>
      <c r="AH24" s="306">
        <f t="shared" si="6"/>
        <v>884241.43523058179</v>
      </c>
      <c r="AL24" s="297" t="e">
        <f t="shared" ca="1" si="8"/>
        <v>#VALUE!</v>
      </c>
    </row>
    <row r="25" spans="3:38">
      <c r="C25" s="307">
        <f t="shared" si="7"/>
        <v>16</v>
      </c>
      <c r="D25" s="305">
        <f t="shared" si="9"/>
        <v>19422.835502517231</v>
      </c>
      <c r="E25" s="305">
        <f t="shared" si="9"/>
        <v>12344.255866185946</v>
      </c>
      <c r="F25" s="305">
        <f t="shared" si="9"/>
        <v>11197.685594853965</v>
      </c>
      <c r="G25" s="305">
        <f t="shared" si="9"/>
        <v>53605.277456899916</v>
      </c>
      <c r="H25" s="305">
        <f t="shared" si="9"/>
        <v>208395.60500822344</v>
      </c>
      <c r="I25" s="305">
        <f t="shared" si="9"/>
        <v>30329.097138302201</v>
      </c>
      <c r="J25" s="305">
        <f t="shared" si="9"/>
        <v>74482.848981148753</v>
      </c>
      <c r="K25" s="305">
        <f t="shared" si="9"/>
        <v>54170.082976151098</v>
      </c>
      <c r="L25" s="305">
        <f t="shared" si="9"/>
        <v>91626.948516151198</v>
      </c>
      <c r="M25" s="309">
        <f t="shared" si="9"/>
        <v>49988.903527988026</v>
      </c>
      <c r="N25" s="305">
        <f t="shared" si="9"/>
        <v>139658.18313798239</v>
      </c>
      <c r="O25" s="305">
        <f t="shared" si="9"/>
        <v>130722.78919395525</v>
      </c>
      <c r="P25" s="305">
        <f t="shared" si="9"/>
        <v>4022.750220713916</v>
      </c>
      <c r="Q25" s="305">
        <f>Q24</f>
        <v>4274.1721095085359</v>
      </c>
      <c r="R25" s="308">
        <f>R7/15</f>
        <v>4559.1169168091046</v>
      </c>
      <c r="S25" s="305"/>
      <c r="T25" s="305"/>
      <c r="U25" s="305"/>
      <c r="V25" s="305"/>
      <c r="W25" s="305"/>
      <c r="X25" s="305"/>
      <c r="Y25" s="305"/>
      <c r="Z25" s="305"/>
      <c r="AA25" s="305"/>
      <c r="AB25" s="305"/>
      <c r="AC25" s="305"/>
      <c r="AD25" s="305"/>
      <c r="AE25" s="305"/>
      <c r="AF25" s="305"/>
      <c r="AG25" s="305"/>
      <c r="AH25" s="306">
        <f t="shared" si="6"/>
        <v>888800.5521473909</v>
      </c>
      <c r="AL25" s="297" t="e">
        <f t="shared" ca="1" si="8"/>
        <v>#VALUE!</v>
      </c>
    </row>
    <row r="26" spans="3:38">
      <c r="C26" s="307">
        <f t="shared" si="7"/>
        <v>17</v>
      </c>
      <c r="D26" s="305">
        <f t="shared" si="9"/>
        <v>19422.835502517231</v>
      </c>
      <c r="E26" s="305">
        <f t="shared" si="9"/>
        <v>12344.255866185946</v>
      </c>
      <c r="F26" s="305">
        <f t="shared" si="9"/>
        <v>11197.685594853965</v>
      </c>
      <c r="G26" s="305">
        <f t="shared" si="9"/>
        <v>53605.277456899916</v>
      </c>
      <c r="H26" s="305">
        <f t="shared" si="9"/>
        <v>208395.60500822344</v>
      </c>
      <c r="I26" s="305">
        <f t="shared" si="9"/>
        <v>30329.097138302201</v>
      </c>
      <c r="J26" s="305">
        <f t="shared" si="9"/>
        <v>74482.848981148753</v>
      </c>
      <c r="K26" s="305">
        <f t="shared" si="9"/>
        <v>54170.082976151098</v>
      </c>
      <c r="L26" s="305">
        <f t="shared" si="9"/>
        <v>91626.948516151198</v>
      </c>
      <c r="M26" s="309">
        <f t="shared" si="9"/>
        <v>49988.903527988026</v>
      </c>
      <c r="N26" s="305">
        <f t="shared" si="9"/>
        <v>139658.18313798239</v>
      </c>
      <c r="O26" s="305">
        <f t="shared" si="9"/>
        <v>130722.78919395525</v>
      </c>
      <c r="P26" s="305">
        <f t="shared" si="9"/>
        <v>4022.750220713916</v>
      </c>
      <c r="Q26" s="305">
        <f t="shared" si="9"/>
        <v>4274.1721095085359</v>
      </c>
      <c r="R26" s="305">
        <f>R25</f>
        <v>4559.1169168091046</v>
      </c>
      <c r="S26" s="308">
        <f>S7/14</f>
        <v>4507.0538394383266</v>
      </c>
      <c r="T26" s="305"/>
      <c r="U26" s="305"/>
      <c r="V26" s="305"/>
      <c r="W26" s="305"/>
      <c r="X26" s="305"/>
      <c r="Y26" s="305"/>
      <c r="Z26" s="305"/>
      <c r="AA26" s="305"/>
      <c r="AB26" s="305"/>
      <c r="AC26" s="305"/>
      <c r="AD26" s="305"/>
      <c r="AE26" s="305"/>
      <c r="AF26" s="305"/>
      <c r="AG26" s="305"/>
      <c r="AH26" s="306">
        <f t="shared" si="6"/>
        <v>893307.60598682927</v>
      </c>
      <c r="AL26" s="297" t="e">
        <f t="shared" ca="1" si="8"/>
        <v>#VALUE!</v>
      </c>
    </row>
    <row r="27" spans="3:38">
      <c r="C27" s="307">
        <f t="shared" si="7"/>
        <v>18</v>
      </c>
      <c r="D27" s="305">
        <f t="shared" si="9"/>
        <v>19422.835502517231</v>
      </c>
      <c r="E27" s="305">
        <f t="shared" si="9"/>
        <v>12344.255866185946</v>
      </c>
      <c r="F27" s="305">
        <f t="shared" si="9"/>
        <v>11197.685594853965</v>
      </c>
      <c r="G27" s="305">
        <f t="shared" si="9"/>
        <v>53605.277456899916</v>
      </c>
      <c r="H27" s="305">
        <f t="shared" si="9"/>
        <v>208395.60500822344</v>
      </c>
      <c r="I27" s="305">
        <f t="shared" si="9"/>
        <v>30329.097138302201</v>
      </c>
      <c r="J27" s="305">
        <f t="shared" si="9"/>
        <v>74482.848981148753</v>
      </c>
      <c r="K27" s="305">
        <f t="shared" si="9"/>
        <v>54170.082976151098</v>
      </c>
      <c r="L27" s="305">
        <f t="shared" si="9"/>
        <v>91626.948516151198</v>
      </c>
      <c r="M27" s="309">
        <f t="shared" si="9"/>
        <v>49988.903527988026</v>
      </c>
      <c r="N27" s="305">
        <f t="shared" si="9"/>
        <v>139658.18313798239</v>
      </c>
      <c r="O27" s="305">
        <f t="shared" si="9"/>
        <v>130722.78919395525</v>
      </c>
      <c r="P27" s="305">
        <f t="shared" si="9"/>
        <v>4022.750220713916</v>
      </c>
      <c r="Q27" s="305">
        <f t="shared" si="9"/>
        <v>4274.1721095085359</v>
      </c>
      <c r="R27" s="305">
        <f t="shared" si="9"/>
        <v>4559.1169168091046</v>
      </c>
      <c r="S27" s="305">
        <f>S26</f>
        <v>4507.0538394383266</v>
      </c>
      <c r="T27" s="308">
        <f>T7/13</f>
        <v>4853.7502886258899</v>
      </c>
      <c r="U27" s="305"/>
      <c r="V27" s="305"/>
      <c r="W27" s="305"/>
      <c r="X27" s="305"/>
      <c r="Y27" s="305"/>
      <c r="Z27" s="305"/>
      <c r="AA27" s="305"/>
      <c r="AB27" s="305"/>
      <c r="AC27" s="305"/>
      <c r="AD27" s="305"/>
      <c r="AE27" s="305"/>
      <c r="AF27" s="305"/>
      <c r="AG27" s="305"/>
      <c r="AH27" s="306">
        <f t="shared" si="6"/>
        <v>898161.35627545521</v>
      </c>
      <c r="AL27" s="297" t="e">
        <f t="shared" ca="1" si="8"/>
        <v>#VALUE!</v>
      </c>
    </row>
    <row r="28" spans="3:38">
      <c r="C28" s="307">
        <f t="shared" si="7"/>
        <v>19</v>
      </c>
      <c r="D28" s="305">
        <f t="shared" si="9"/>
        <v>19422.835502517231</v>
      </c>
      <c r="E28" s="305">
        <f t="shared" si="9"/>
        <v>12344.255866185946</v>
      </c>
      <c r="F28" s="305">
        <f t="shared" si="9"/>
        <v>11197.685594853965</v>
      </c>
      <c r="G28" s="305">
        <f t="shared" si="9"/>
        <v>53605.277456899916</v>
      </c>
      <c r="H28" s="305">
        <f t="shared" si="9"/>
        <v>208395.60500822344</v>
      </c>
      <c r="I28" s="305">
        <f t="shared" si="9"/>
        <v>30329.097138302201</v>
      </c>
      <c r="J28" s="305">
        <f t="shared" si="9"/>
        <v>74482.848981148753</v>
      </c>
      <c r="K28" s="305">
        <f t="shared" si="9"/>
        <v>54170.082976151098</v>
      </c>
      <c r="L28" s="305">
        <f t="shared" si="9"/>
        <v>91626.948516151198</v>
      </c>
      <c r="M28" s="309">
        <f t="shared" si="9"/>
        <v>49988.903527988026</v>
      </c>
      <c r="N28" s="305">
        <f t="shared" si="9"/>
        <v>139658.18313798239</v>
      </c>
      <c r="O28" s="305">
        <f t="shared" si="9"/>
        <v>130722.78919395525</v>
      </c>
      <c r="P28" s="305">
        <f t="shared" si="9"/>
        <v>4022.750220713916</v>
      </c>
      <c r="Q28" s="305">
        <f t="shared" si="9"/>
        <v>4274.1721095085359</v>
      </c>
      <c r="R28" s="305">
        <f t="shared" si="9"/>
        <v>4559.1169168091046</v>
      </c>
      <c r="S28" s="305">
        <f>S27</f>
        <v>4507.0538394383266</v>
      </c>
      <c r="T28" s="305">
        <f>T27</f>
        <v>4853.7502886258899</v>
      </c>
      <c r="U28" s="308">
        <f>U7/12</f>
        <v>5258.2294793447145</v>
      </c>
      <c r="V28" s="305"/>
      <c r="W28" s="305"/>
      <c r="X28" s="305"/>
      <c r="Y28" s="305"/>
      <c r="Z28" s="305"/>
      <c r="AA28" s="305"/>
      <c r="AB28" s="305"/>
      <c r="AC28" s="305"/>
      <c r="AD28" s="305"/>
      <c r="AE28" s="305"/>
      <c r="AF28" s="305"/>
      <c r="AG28" s="305"/>
      <c r="AH28" s="306">
        <f t="shared" si="6"/>
        <v>903419.58575479989</v>
      </c>
      <c r="AL28" s="297" t="e">
        <f t="shared" ca="1" si="8"/>
        <v>#VALUE!</v>
      </c>
    </row>
    <row r="29" spans="3:38">
      <c r="C29" s="307">
        <f t="shared" si="7"/>
        <v>20</v>
      </c>
      <c r="D29" s="305">
        <f t="shared" ref="D29:T39" si="10">D28</f>
        <v>19422.835502517231</v>
      </c>
      <c r="E29" s="305">
        <f t="shared" si="10"/>
        <v>12344.255866185946</v>
      </c>
      <c r="F29" s="305">
        <f t="shared" si="10"/>
        <v>11197.685594853965</v>
      </c>
      <c r="G29" s="305">
        <f t="shared" si="10"/>
        <v>53605.277456899916</v>
      </c>
      <c r="H29" s="305">
        <f t="shared" si="10"/>
        <v>208395.60500822344</v>
      </c>
      <c r="I29" s="305">
        <f t="shared" si="10"/>
        <v>30329.097138302201</v>
      </c>
      <c r="J29" s="305">
        <f t="shared" si="10"/>
        <v>74482.848981148753</v>
      </c>
      <c r="K29" s="305">
        <f t="shared" si="10"/>
        <v>54170.082976151098</v>
      </c>
      <c r="L29" s="305">
        <f t="shared" si="10"/>
        <v>91626.948516151198</v>
      </c>
      <c r="M29" s="309">
        <f t="shared" si="10"/>
        <v>49988.903527988026</v>
      </c>
      <c r="N29" s="305">
        <f t="shared" si="10"/>
        <v>139658.18313798239</v>
      </c>
      <c r="O29" s="305">
        <f t="shared" si="10"/>
        <v>130722.78919395525</v>
      </c>
      <c r="P29" s="305">
        <f t="shared" si="10"/>
        <v>4022.750220713916</v>
      </c>
      <c r="Q29" s="305">
        <f t="shared" si="10"/>
        <v>4274.1721095085359</v>
      </c>
      <c r="R29" s="305">
        <f t="shared" si="10"/>
        <v>4559.1169168091046</v>
      </c>
      <c r="S29" s="305">
        <f t="shared" si="10"/>
        <v>4507.0538394383266</v>
      </c>
      <c r="T29" s="305">
        <f t="shared" si="10"/>
        <v>4853.7502886258899</v>
      </c>
      <c r="U29" s="305">
        <f>U28</f>
        <v>5258.2294793447145</v>
      </c>
      <c r="V29" s="308">
        <f>V7/11</f>
        <v>5736.2503411033249</v>
      </c>
      <c r="W29" s="305"/>
      <c r="X29" s="305"/>
      <c r="Y29" s="305"/>
      <c r="Z29" s="305"/>
      <c r="AA29" s="305"/>
      <c r="AB29" s="305"/>
      <c r="AC29" s="305"/>
      <c r="AD29" s="305"/>
      <c r="AE29" s="305"/>
      <c r="AF29" s="305"/>
      <c r="AG29" s="305"/>
      <c r="AH29" s="306">
        <f t="shared" si="6"/>
        <v>909155.83609590319</v>
      </c>
      <c r="AL29" s="297" t="e">
        <f t="shared" ca="1" si="8"/>
        <v>#VALUE!</v>
      </c>
    </row>
    <row r="30" spans="3:38">
      <c r="C30" s="307">
        <f t="shared" si="7"/>
        <v>21</v>
      </c>
      <c r="D30" s="305">
        <f t="shared" si="10"/>
        <v>19422.835502517231</v>
      </c>
      <c r="E30" s="305">
        <f t="shared" si="10"/>
        <v>12344.255866185946</v>
      </c>
      <c r="F30" s="305">
        <f t="shared" si="10"/>
        <v>11197.685594853965</v>
      </c>
      <c r="G30" s="305">
        <f t="shared" si="10"/>
        <v>53605.277456899916</v>
      </c>
      <c r="H30" s="305">
        <f t="shared" si="10"/>
        <v>208395.60500822344</v>
      </c>
      <c r="I30" s="305">
        <f t="shared" si="10"/>
        <v>30329.097138302201</v>
      </c>
      <c r="J30" s="305">
        <f t="shared" si="10"/>
        <v>74482.848981148753</v>
      </c>
      <c r="K30" s="305">
        <f t="shared" si="10"/>
        <v>54170.082976151098</v>
      </c>
      <c r="L30" s="305">
        <f t="shared" si="10"/>
        <v>91626.948516151198</v>
      </c>
      <c r="M30" s="309">
        <f t="shared" si="10"/>
        <v>49988.903527988026</v>
      </c>
      <c r="N30" s="305">
        <f t="shared" si="10"/>
        <v>139658.18313798239</v>
      </c>
      <c r="O30" s="305">
        <f t="shared" si="10"/>
        <v>130722.78919395525</v>
      </c>
      <c r="P30" s="305">
        <f t="shared" si="10"/>
        <v>4022.750220713916</v>
      </c>
      <c r="Q30" s="305">
        <f t="shared" si="10"/>
        <v>4274.1721095085359</v>
      </c>
      <c r="R30" s="305">
        <f t="shared" si="10"/>
        <v>4559.1169168091046</v>
      </c>
      <c r="S30" s="305">
        <f t="shared" si="10"/>
        <v>4507.0538394383266</v>
      </c>
      <c r="T30" s="305">
        <f t="shared" si="10"/>
        <v>4853.7502886258899</v>
      </c>
      <c r="U30" s="305">
        <f t="shared" ref="T30:Z39" si="11">U29</f>
        <v>5258.2294793447145</v>
      </c>
      <c r="V30" s="305">
        <f>V29</f>
        <v>5736.2503411033249</v>
      </c>
      <c r="W30" s="308">
        <f>W7/10</f>
        <v>6309.8753752136572</v>
      </c>
      <c r="X30" s="305"/>
      <c r="Y30" s="305"/>
      <c r="Z30" s="305"/>
      <c r="AA30" s="305"/>
      <c r="AB30" s="305"/>
      <c r="AC30" s="305"/>
      <c r="AD30" s="305"/>
      <c r="AE30" s="305"/>
      <c r="AF30" s="305"/>
      <c r="AG30" s="305"/>
      <c r="AH30" s="306">
        <f t="shared" si="6"/>
        <v>915465.71147111687</v>
      </c>
      <c r="AL30" s="297" t="e">
        <f t="shared" ca="1" si="8"/>
        <v>#VALUE!</v>
      </c>
    </row>
    <row r="31" spans="3:38">
      <c r="C31" s="307">
        <f t="shared" si="7"/>
        <v>22</v>
      </c>
      <c r="D31" s="305">
        <f t="shared" si="10"/>
        <v>19422.835502517231</v>
      </c>
      <c r="E31" s="305">
        <f t="shared" si="10"/>
        <v>12344.255866185946</v>
      </c>
      <c r="F31" s="305">
        <f t="shared" si="10"/>
        <v>11197.685594853965</v>
      </c>
      <c r="G31" s="305">
        <f t="shared" si="10"/>
        <v>53605.277456899916</v>
      </c>
      <c r="H31" s="305">
        <f t="shared" si="10"/>
        <v>208395.60500822344</v>
      </c>
      <c r="I31" s="305">
        <f t="shared" si="10"/>
        <v>30329.097138302201</v>
      </c>
      <c r="J31" s="305">
        <f t="shared" si="10"/>
        <v>74482.848981148753</v>
      </c>
      <c r="K31" s="305">
        <f t="shared" si="10"/>
        <v>54170.082976151098</v>
      </c>
      <c r="L31" s="305">
        <f t="shared" si="10"/>
        <v>91626.948516151198</v>
      </c>
      <c r="M31" s="309">
        <f t="shared" si="10"/>
        <v>49988.903527988026</v>
      </c>
      <c r="N31" s="305">
        <f t="shared" si="10"/>
        <v>139658.18313798239</v>
      </c>
      <c r="O31" s="305">
        <f t="shared" si="10"/>
        <v>130722.78919395525</v>
      </c>
      <c r="P31" s="305">
        <f t="shared" si="10"/>
        <v>4022.750220713916</v>
      </c>
      <c r="Q31" s="305">
        <f t="shared" si="10"/>
        <v>4274.1721095085359</v>
      </c>
      <c r="R31" s="305">
        <f t="shared" si="10"/>
        <v>4559.1169168091046</v>
      </c>
      <c r="S31" s="305">
        <f t="shared" si="10"/>
        <v>4507.0538394383266</v>
      </c>
      <c r="T31" s="305">
        <f t="shared" si="11"/>
        <v>4853.7502886258899</v>
      </c>
      <c r="U31" s="305">
        <f t="shared" si="11"/>
        <v>5258.2294793447145</v>
      </c>
      <c r="V31" s="305">
        <f t="shared" si="11"/>
        <v>5736.2503411033249</v>
      </c>
      <c r="W31" s="305">
        <f>W30</f>
        <v>6309.8753752136572</v>
      </c>
      <c r="X31" s="308">
        <f>X7/9</f>
        <v>7643.750416904064</v>
      </c>
      <c r="Y31" s="305"/>
      <c r="Z31" s="305"/>
      <c r="AA31" s="305"/>
      <c r="AB31" s="305"/>
      <c r="AC31" s="305"/>
      <c r="AD31" s="305"/>
      <c r="AE31" s="305"/>
      <c r="AF31" s="305"/>
      <c r="AG31" s="305"/>
      <c r="AH31" s="310">
        <f t="shared" si="6"/>
        <v>923109.46188802097</v>
      </c>
      <c r="AL31" s="297" t="e">
        <f t="shared" ca="1" si="8"/>
        <v>#VALUE!</v>
      </c>
    </row>
    <row r="32" spans="3:38">
      <c r="C32" s="307">
        <f t="shared" si="7"/>
        <v>23</v>
      </c>
      <c r="D32" s="305">
        <f t="shared" si="10"/>
        <v>19422.835502517231</v>
      </c>
      <c r="E32" s="305">
        <f t="shared" si="10"/>
        <v>12344.255866185946</v>
      </c>
      <c r="F32" s="305">
        <f t="shared" si="10"/>
        <v>11197.685594853965</v>
      </c>
      <c r="G32" s="305">
        <f t="shared" si="10"/>
        <v>53605.277456899916</v>
      </c>
      <c r="H32" s="305">
        <f t="shared" si="10"/>
        <v>208395.60500822344</v>
      </c>
      <c r="I32" s="305">
        <f t="shared" si="10"/>
        <v>30329.097138302201</v>
      </c>
      <c r="J32" s="305">
        <f t="shared" si="10"/>
        <v>74482.848981148753</v>
      </c>
      <c r="K32" s="305">
        <f t="shared" si="10"/>
        <v>54170.082976151098</v>
      </c>
      <c r="L32" s="305">
        <f t="shared" si="10"/>
        <v>91626.948516151198</v>
      </c>
      <c r="M32" s="309">
        <f t="shared" si="10"/>
        <v>49988.903527988026</v>
      </c>
      <c r="N32" s="305">
        <f t="shared" si="10"/>
        <v>139658.18313798239</v>
      </c>
      <c r="O32" s="305">
        <f t="shared" si="10"/>
        <v>130722.78919395525</v>
      </c>
      <c r="P32" s="305">
        <f t="shared" si="10"/>
        <v>4022.750220713916</v>
      </c>
      <c r="Q32" s="305">
        <f t="shared" si="10"/>
        <v>4274.1721095085359</v>
      </c>
      <c r="R32" s="305">
        <f t="shared" si="10"/>
        <v>4559.1169168091046</v>
      </c>
      <c r="S32" s="305">
        <f t="shared" si="10"/>
        <v>4507.0538394383266</v>
      </c>
      <c r="T32" s="305">
        <f t="shared" si="11"/>
        <v>4853.7502886258899</v>
      </c>
      <c r="U32" s="305">
        <f t="shared" si="11"/>
        <v>5258.2294793447145</v>
      </c>
      <c r="V32" s="305">
        <f t="shared" si="11"/>
        <v>5736.2503411033249</v>
      </c>
      <c r="W32" s="305">
        <f t="shared" si="11"/>
        <v>6309.8753752136572</v>
      </c>
      <c r="X32" s="305">
        <f>X31</f>
        <v>7643.750416904064</v>
      </c>
      <c r="Y32" s="308">
        <f>Y7/8</f>
        <v>7429.8442190170717</v>
      </c>
      <c r="Z32" s="305"/>
      <c r="AA32" s="305"/>
      <c r="AB32" s="305"/>
      <c r="AC32" s="305"/>
      <c r="AD32" s="305"/>
      <c r="AE32" s="305"/>
      <c r="AF32" s="305"/>
      <c r="AG32" s="305"/>
      <c r="AH32" s="310">
        <f t="shared" si="6"/>
        <v>930539.30610703805</v>
      </c>
      <c r="AL32" s="297" t="e">
        <f t="shared" ca="1" si="8"/>
        <v>#VALUE!</v>
      </c>
    </row>
    <row r="33" spans="1:38">
      <c r="C33" s="307">
        <f t="shared" si="7"/>
        <v>24</v>
      </c>
      <c r="D33" s="305">
        <f t="shared" si="10"/>
        <v>19422.835502517231</v>
      </c>
      <c r="E33" s="305">
        <f t="shared" si="10"/>
        <v>12344.255866185946</v>
      </c>
      <c r="F33" s="305">
        <f t="shared" si="10"/>
        <v>11197.685594853965</v>
      </c>
      <c r="G33" s="305">
        <f t="shared" si="10"/>
        <v>53605.277456899916</v>
      </c>
      <c r="H33" s="305">
        <f t="shared" si="10"/>
        <v>208395.60500822344</v>
      </c>
      <c r="I33" s="305">
        <f t="shared" si="10"/>
        <v>30329.097138302201</v>
      </c>
      <c r="J33" s="305">
        <f t="shared" si="10"/>
        <v>74482.848981148753</v>
      </c>
      <c r="K33" s="305">
        <f t="shared" si="10"/>
        <v>54170.082976151098</v>
      </c>
      <c r="L33" s="305">
        <f t="shared" si="10"/>
        <v>91626.948516151198</v>
      </c>
      <c r="M33" s="309">
        <f t="shared" si="10"/>
        <v>49988.903527988026</v>
      </c>
      <c r="N33" s="305">
        <f t="shared" si="10"/>
        <v>139658.18313798239</v>
      </c>
      <c r="O33" s="305">
        <f t="shared" si="10"/>
        <v>130722.78919395525</v>
      </c>
      <c r="P33" s="305">
        <f t="shared" si="10"/>
        <v>4022.750220713916</v>
      </c>
      <c r="Q33" s="305">
        <f t="shared" si="10"/>
        <v>4274.1721095085359</v>
      </c>
      <c r="R33" s="305">
        <f t="shared" si="10"/>
        <v>4559.1169168091046</v>
      </c>
      <c r="S33" s="305">
        <f t="shared" si="10"/>
        <v>4507.0538394383266</v>
      </c>
      <c r="T33" s="305">
        <f t="shared" si="11"/>
        <v>4853.7502886258899</v>
      </c>
      <c r="U33" s="305">
        <f t="shared" si="11"/>
        <v>5258.2294793447145</v>
      </c>
      <c r="V33" s="305">
        <f t="shared" si="11"/>
        <v>5736.2503411033249</v>
      </c>
      <c r="W33" s="305">
        <f t="shared" si="11"/>
        <v>6309.8753752136572</v>
      </c>
      <c r="X33" s="305">
        <f t="shared" si="11"/>
        <v>7643.750416904064</v>
      </c>
      <c r="Y33" s="305">
        <f>Y32</f>
        <v>7429.8442190170717</v>
      </c>
      <c r="Z33" s="308">
        <f>Z7/7</f>
        <v>8491.25053601951</v>
      </c>
      <c r="AA33" s="305"/>
      <c r="AB33" s="305"/>
      <c r="AC33" s="305"/>
      <c r="AD33" s="305"/>
      <c r="AE33" s="305"/>
      <c r="AF33" s="305"/>
      <c r="AG33" s="305"/>
      <c r="AH33" s="310">
        <f t="shared" si="6"/>
        <v>939030.55664305761</v>
      </c>
      <c r="AL33" s="297" t="e">
        <f t="shared" ca="1" si="8"/>
        <v>#VALUE!</v>
      </c>
    </row>
    <row r="34" spans="1:38">
      <c r="C34" s="307">
        <f t="shared" si="7"/>
        <v>25</v>
      </c>
      <c r="D34" s="305">
        <f t="shared" si="10"/>
        <v>19422.835502517231</v>
      </c>
      <c r="E34" s="305">
        <f t="shared" si="10"/>
        <v>12344.255866185946</v>
      </c>
      <c r="F34" s="305">
        <f t="shared" si="10"/>
        <v>11197.685594853965</v>
      </c>
      <c r="G34" s="305">
        <f t="shared" si="10"/>
        <v>53605.277456899916</v>
      </c>
      <c r="H34" s="305">
        <f t="shared" si="10"/>
        <v>208395.60500822344</v>
      </c>
      <c r="I34" s="305">
        <f t="shared" si="10"/>
        <v>30329.097138302201</v>
      </c>
      <c r="J34" s="305">
        <f t="shared" si="10"/>
        <v>74482.848981148753</v>
      </c>
      <c r="K34" s="305">
        <f t="shared" si="10"/>
        <v>54170.082976151098</v>
      </c>
      <c r="L34" s="305">
        <f t="shared" si="10"/>
        <v>91626.948516151198</v>
      </c>
      <c r="M34" s="309">
        <f t="shared" si="10"/>
        <v>49988.903527988026</v>
      </c>
      <c r="N34" s="305">
        <f t="shared" si="10"/>
        <v>139658.18313798239</v>
      </c>
      <c r="O34" s="305">
        <f t="shared" si="10"/>
        <v>130722.78919395525</v>
      </c>
      <c r="P34" s="305">
        <f t="shared" si="10"/>
        <v>4022.750220713916</v>
      </c>
      <c r="Q34" s="305">
        <f t="shared" si="10"/>
        <v>4274.1721095085359</v>
      </c>
      <c r="R34" s="305">
        <f t="shared" si="10"/>
        <v>4559.1169168091046</v>
      </c>
      <c r="S34" s="305">
        <f t="shared" si="10"/>
        <v>4507.0538394383266</v>
      </c>
      <c r="T34" s="305">
        <f t="shared" si="11"/>
        <v>4853.7502886258899</v>
      </c>
      <c r="U34" s="305">
        <f t="shared" si="11"/>
        <v>5258.2294793447145</v>
      </c>
      <c r="V34" s="305">
        <f t="shared" si="11"/>
        <v>5736.2503411033249</v>
      </c>
      <c r="W34" s="305">
        <f t="shared" si="11"/>
        <v>6309.8753752136572</v>
      </c>
      <c r="X34" s="305">
        <f t="shared" si="11"/>
        <v>7643.750416904064</v>
      </c>
      <c r="Y34" s="305">
        <f t="shared" si="11"/>
        <v>7429.8442190170717</v>
      </c>
      <c r="Z34" s="305">
        <f t="shared" si="11"/>
        <v>8491.25053601951</v>
      </c>
      <c r="AA34" s="308">
        <f>AA7/6</f>
        <v>9906.458958689429</v>
      </c>
      <c r="AB34" s="305"/>
      <c r="AC34" s="305"/>
      <c r="AD34" s="305"/>
      <c r="AE34" s="305"/>
      <c r="AF34" s="305"/>
      <c r="AG34" s="305"/>
      <c r="AH34" s="310">
        <f t="shared" si="6"/>
        <v>948937.01560174709</v>
      </c>
      <c r="AL34" s="297" t="e">
        <f t="shared" ca="1" si="8"/>
        <v>#VALUE!</v>
      </c>
    </row>
    <row r="35" spans="1:38">
      <c r="C35" s="307">
        <f t="shared" si="7"/>
        <v>26</v>
      </c>
      <c r="D35" s="305">
        <f t="shared" si="10"/>
        <v>19422.835502517231</v>
      </c>
      <c r="E35" s="305">
        <f t="shared" si="10"/>
        <v>12344.255866185946</v>
      </c>
      <c r="F35" s="305">
        <f t="shared" si="10"/>
        <v>11197.685594853965</v>
      </c>
      <c r="G35" s="305">
        <f t="shared" si="10"/>
        <v>53605.277456899916</v>
      </c>
      <c r="H35" s="305">
        <f t="shared" si="10"/>
        <v>208395.60500822344</v>
      </c>
      <c r="I35" s="305">
        <f t="shared" si="10"/>
        <v>30329.097138302201</v>
      </c>
      <c r="J35" s="305">
        <f t="shared" si="10"/>
        <v>74482.848981148753</v>
      </c>
      <c r="K35" s="305">
        <f t="shared" si="10"/>
        <v>54170.082976151098</v>
      </c>
      <c r="L35" s="305">
        <f t="shared" si="10"/>
        <v>91626.948516151198</v>
      </c>
      <c r="M35" s="309">
        <f t="shared" si="10"/>
        <v>49988.903527988026</v>
      </c>
      <c r="N35" s="305">
        <f t="shared" si="10"/>
        <v>139658.18313798239</v>
      </c>
      <c r="O35" s="305">
        <f t="shared" si="10"/>
        <v>130722.78919395525</v>
      </c>
      <c r="P35" s="305">
        <f t="shared" si="10"/>
        <v>4022.750220713916</v>
      </c>
      <c r="Q35" s="305">
        <f t="shared" si="10"/>
        <v>4274.1721095085359</v>
      </c>
      <c r="R35" s="305">
        <f t="shared" si="10"/>
        <v>4559.1169168091046</v>
      </c>
      <c r="S35" s="305">
        <f t="shared" si="10"/>
        <v>4507.0538394383266</v>
      </c>
      <c r="T35" s="305">
        <f t="shared" si="11"/>
        <v>4853.7502886258899</v>
      </c>
      <c r="U35" s="305">
        <f t="shared" si="11"/>
        <v>5258.2294793447145</v>
      </c>
      <c r="V35" s="305">
        <f t="shared" si="11"/>
        <v>5736.2503411033249</v>
      </c>
      <c r="W35" s="305">
        <f t="shared" si="11"/>
        <v>6309.8753752136572</v>
      </c>
      <c r="X35" s="305">
        <f t="shared" si="11"/>
        <v>7643.750416904064</v>
      </c>
      <c r="Y35" s="305">
        <f t="shared" si="11"/>
        <v>7429.8442190170717</v>
      </c>
      <c r="Z35" s="305">
        <f t="shared" si="11"/>
        <v>8491.25053601951</v>
      </c>
      <c r="AA35" s="305">
        <f>AA34</f>
        <v>9906.458958689429</v>
      </c>
      <c r="AB35" s="308">
        <f>AB7/5</f>
        <v>11887.750750427314</v>
      </c>
      <c r="AC35" s="305"/>
      <c r="AD35" s="305"/>
      <c r="AE35" s="305"/>
      <c r="AF35" s="305"/>
      <c r="AG35" s="305"/>
      <c r="AH35" s="310">
        <f t="shared" si="6"/>
        <v>960824.76635217445</v>
      </c>
      <c r="AL35" s="297" t="e">
        <f t="shared" ca="1" si="8"/>
        <v>#VALUE!</v>
      </c>
    </row>
    <row r="36" spans="1:38">
      <c r="C36" s="307">
        <f t="shared" si="7"/>
        <v>27</v>
      </c>
      <c r="D36" s="305">
        <f t="shared" si="10"/>
        <v>19422.835502517231</v>
      </c>
      <c r="E36" s="305">
        <f t="shared" si="10"/>
        <v>12344.255866185946</v>
      </c>
      <c r="F36" s="305">
        <f t="shared" si="10"/>
        <v>11197.685594853965</v>
      </c>
      <c r="G36" s="305">
        <f t="shared" si="10"/>
        <v>53605.277456899916</v>
      </c>
      <c r="H36" s="305">
        <f t="shared" si="10"/>
        <v>208395.60500822344</v>
      </c>
      <c r="I36" s="305">
        <f t="shared" si="10"/>
        <v>30329.097138302201</v>
      </c>
      <c r="J36" s="305">
        <f t="shared" si="10"/>
        <v>74482.848981148753</v>
      </c>
      <c r="K36" s="305">
        <f t="shared" si="10"/>
        <v>54170.082976151098</v>
      </c>
      <c r="L36" s="305">
        <f t="shared" si="10"/>
        <v>91626.948516151198</v>
      </c>
      <c r="M36" s="309">
        <f t="shared" si="10"/>
        <v>49988.903527988026</v>
      </c>
      <c r="N36" s="305">
        <f t="shared" si="10"/>
        <v>139658.18313798239</v>
      </c>
      <c r="O36" s="305">
        <f t="shared" si="10"/>
        <v>130722.78919395525</v>
      </c>
      <c r="P36" s="305">
        <f t="shared" si="10"/>
        <v>4022.750220713916</v>
      </c>
      <c r="Q36" s="305">
        <f t="shared" si="10"/>
        <v>4274.1721095085359</v>
      </c>
      <c r="R36" s="305">
        <f t="shared" si="10"/>
        <v>4559.1169168091046</v>
      </c>
      <c r="S36" s="305">
        <f t="shared" si="10"/>
        <v>4507.0538394383266</v>
      </c>
      <c r="T36" s="305">
        <f t="shared" si="11"/>
        <v>4853.7502886258899</v>
      </c>
      <c r="U36" s="305">
        <f t="shared" si="11"/>
        <v>5258.2294793447145</v>
      </c>
      <c r="V36" s="305">
        <f t="shared" si="11"/>
        <v>5736.2503411033249</v>
      </c>
      <c r="W36" s="305">
        <f t="shared" si="11"/>
        <v>6309.8753752136572</v>
      </c>
      <c r="X36" s="305">
        <f t="shared" si="11"/>
        <v>7643.750416904064</v>
      </c>
      <c r="Y36" s="305">
        <f t="shared" si="11"/>
        <v>7429.8442190170717</v>
      </c>
      <c r="Z36" s="305">
        <f t="shared" si="11"/>
        <v>8491.25053601951</v>
      </c>
      <c r="AA36" s="305">
        <f>AA35</f>
        <v>9906.458958689429</v>
      </c>
      <c r="AB36" s="305">
        <f>AB35</f>
        <v>11887.750750427314</v>
      </c>
      <c r="AC36" s="308">
        <f>AC7/4</f>
        <v>17198.438438034143</v>
      </c>
      <c r="AD36" s="305"/>
      <c r="AE36" s="305"/>
      <c r="AF36" s="305"/>
      <c r="AG36" s="305"/>
      <c r="AH36" s="310">
        <f t="shared" si="6"/>
        <v>978023.20479020861</v>
      </c>
      <c r="AL36" s="297" t="e">
        <f t="shared" ca="1" si="8"/>
        <v>#VALUE!</v>
      </c>
    </row>
    <row r="37" spans="1:38">
      <c r="C37" s="307">
        <f t="shared" si="7"/>
        <v>28</v>
      </c>
      <c r="D37" s="305">
        <f t="shared" si="10"/>
        <v>19422.835502517231</v>
      </c>
      <c r="E37" s="305">
        <f t="shared" si="10"/>
        <v>12344.255866185946</v>
      </c>
      <c r="F37" s="305">
        <f t="shared" si="10"/>
        <v>11197.685594853965</v>
      </c>
      <c r="G37" s="305">
        <f t="shared" si="10"/>
        <v>53605.277456899916</v>
      </c>
      <c r="H37" s="305">
        <f t="shared" si="10"/>
        <v>208395.60500822344</v>
      </c>
      <c r="I37" s="305">
        <f t="shared" si="10"/>
        <v>30329.097138302201</v>
      </c>
      <c r="J37" s="305">
        <f t="shared" si="10"/>
        <v>74482.848981148753</v>
      </c>
      <c r="K37" s="305">
        <f t="shared" si="10"/>
        <v>54170.082976151098</v>
      </c>
      <c r="L37" s="305">
        <f t="shared" si="10"/>
        <v>91626.948516151198</v>
      </c>
      <c r="M37" s="309">
        <f t="shared" si="10"/>
        <v>49988.903527988026</v>
      </c>
      <c r="N37" s="305">
        <f t="shared" si="10"/>
        <v>139658.18313798239</v>
      </c>
      <c r="O37" s="305">
        <f t="shared" si="10"/>
        <v>130722.78919395525</v>
      </c>
      <c r="P37" s="305">
        <f t="shared" si="10"/>
        <v>4022.750220713916</v>
      </c>
      <c r="Q37" s="305">
        <f t="shared" si="10"/>
        <v>4274.1721095085359</v>
      </c>
      <c r="R37" s="305">
        <f t="shared" si="10"/>
        <v>4559.1169168091046</v>
      </c>
      <c r="S37" s="305">
        <f t="shared" si="10"/>
        <v>4507.0538394383266</v>
      </c>
      <c r="T37" s="305">
        <f t="shared" si="11"/>
        <v>4853.7502886258899</v>
      </c>
      <c r="U37" s="305">
        <f t="shared" si="11"/>
        <v>5258.2294793447145</v>
      </c>
      <c r="V37" s="305">
        <f t="shared" si="11"/>
        <v>5736.2503411033249</v>
      </c>
      <c r="W37" s="305">
        <f t="shared" si="11"/>
        <v>6309.8753752136572</v>
      </c>
      <c r="X37" s="305">
        <f t="shared" si="11"/>
        <v>7643.750416904064</v>
      </c>
      <c r="Y37" s="305">
        <f t="shared" si="11"/>
        <v>7429.8442190170717</v>
      </c>
      <c r="Z37" s="305">
        <f t="shared" si="11"/>
        <v>8491.25053601951</v>
      </c>
      <c r="AA37" s="305">
        <f>AA36</f>
        <v>9906.458958689429</v>
      </c>
      <c r="AB37" s="305">
        <f>AB36</f>
        <v>11887.750750427314</v>
      </c>
      <c r="AC37" s="305">
        <f>AC36</f>
        <v>17198.438438034143</v>
      </c>
      <c r="AD37" s="308">
        <f>AD7/3</f>
        <v>20084.25125071219</v>
      </c>
      <c r="AE37" s="305"/>
      <c r="AF37" s="305"/>
      <c r="AG37" s="305"/>
      <c r="AH37" s="310">
        <f t="shared" si="6"/>
        <v>998107.45604092081</v>
      </c>
      <c r="AL37" s="297" t="e">
        <f t="shared" ca="1" si="8"/>
        <v>#VALUE!</v>
      </c>
    </row>
    <row r="38" spans="1:38">
      <c r="C38" s="307">
        <f t="shared" si="7"/>
        <v>29</v>
      </c>
      <c r="D38" s="305">
        <f t="shared" si="10"/>
        <v>19422.835502517231</v>
      </c>
      <c r="E38" s="305">
        <f t="shared" si="10"/>
        <v>12344.255866185946</v>
      </c>
      <c r="F38" s="305">
        <f t="shared" si="10"/>
        <v>11197.685594853965</v>
      </c>
      <c r="G38" s="305">
        <f t="shared" si="10"/>
        <v>53605.277456899916</v>
      </c>
      <c r="H38" s="305">
        <f t="shared" si="10"/>
        <v>208395.60500822344</v>
      </c>
      <c r="I38" s="305">
        <f t="shared" si="10"/>
        <v>30329.097138302201</v>
      </c>
      <c r="J38" s="305">
        <f t="shared" si="10"/>
        <v>74482.848981148753</v>
      </c>
      <c r="K38" s="305">
        <f t="shared" si="10"/>
        <v>54170.082976151098</v>
      </c>
      <c r="L38" s="305">
        <f t="shared" si="10"/>
        <v>91626.948516151198</v>
      </c>
      <c r="M38" s="309">
        <f t="shared" si="10"/>
        <v>49988.903527988026</v>
      </c>
      <c r="N38" s="305">
        <f t="shared" si="10"/>
        <v>139658.18313798239</v>
      </c>
      <c r="O38" s="305">
        <f t="shared" si="10"/>
        <v>130722.78919395525</v>
      </c>
      <c r="P38" s="305">
        <f t="shared" si="10"/>
        <v>4022.750220713916</v>
      </c>
      <c r="Q38" s="305">
        <f t="shared" si="10"/>
        <v>4274.1721095085359</v>
      </c>
      <c r="R38" s="305">
        <f t="shared" si="10"/>
        <v>4559.1169168091046</v>
      </c>
      <c r="S38" s="305">
        <f t="shared" si="10"/>
        <v>4507.0538394383266</v>
      </c>
      <c r="T38" s="305">
        <f t="shared" si="11"/>
        <v>4853.7502886258899</v>
      </c>
      <c r="U38" s="305">
        <f t="shared" si="11"/>
        <v>5258.2294793447145</v>
      </c>
      <c r="V38" s="305">
        <f t="shared" si="11"/>
        <v>5736.2503411033249</v>
      </c>
      <c r="W38" s="305">
        <f t="shared" si="11"/>
        <v>6309.8753752136572</v>
      </c>
      <c r="X38" s="305">
        <f t="shared" si="11"/>
        <v>7643.750416904064</v>
      </c>
      <c r="Y38" s="305">
        <f t="shared" si="11"/>
        <v>7429.8442190170717</v>
      </c>
      <c r="Z38" s="305">
        <f t="shared" si="11"/>
        <v>8491.25053601951</v>
      </c>
      <c r="AA38" s="305">
        <f>AA37</f>
        <v>9906.458958689429</v>
      </c>
      <c r="AB38" s="305">
        <f>AB37</f>
        <v>11887.750750427314</v>
      </c>
      <c r="AC38" s="305">
        <f>AC37</f>
        <v>17198.438438034143</v>
      </c>
      <c r="AD38" s="305">
        <f>AD37</f>
        <v>20084.25125071219</v>
      </c>
      <c r="AE38" s="308">
        <f>AE7/2</f>
        <v>30533.376876068287</v>
      </c>
      <c r="AF38" s="305"/>
      <c r="AG38" s="305"/>
      <c r="AH38" s="310">
        <f t="shared" si="6"/>
        <v>1028640.8329169891</v>
      </c>
      <c r="AL38" s="297" t="e">
        <f t="shared" ca="1" si="8"/>
        <v>#VALUE!</v>
      </c>
    </row>
    <row r="39" spans="1:38" ht="13.5" thickBot="1">
      <c r="C39" s="307">
        <f t="shared" si="7"/>
        <v>30</v>
      </c>
      <c r="D39" s="305">
        <f t="shared" si="10"/>
        <v>19422.835502517231</v>
      </c>
      <c r="E39" s="305">
        <f t="shared" si="10"/>
        <v>12344.255866185946</v>
      </c>
      <c r="F39" s="305">
        <f t="shared" si="10"/>
        <v>11197.685594853965</v>
      </c>
      <c r="G39" s="305">
        <f t="shared" si="10"/>
        <v>53605.277456899916</v>
      </c>
      <c r="H39" s="305">
        <f t="shared" si="10"/>
        <v>208395.60500822344</v>
      </c>
      <c r="I39" s="305">
        <f t="shared" si="10"/>
        <v>30329.097138302201</v>
      </c>
      <c r="J39" s="305">
        <f t="shared" si="10"/>
        <v>74482.848981148753</v>
      </c>
      <c r="K39" s="305">
        <f t="shared" si="10"/>
        <v>54170.082976151098</v>
      </c>
      <c r="L39" s="305">
        <f t="shared" si="10"/>
        <v>91626.948516151198</v>
      </c>
      <c r="M39" s="309">
        <f t="shared" si="10"/>
        <v>49988.903527988026</v>
      </c>
      <c r="N39" s="305">
        <f t="shared" si="10"/>
        <v>139658.18313798239</v>
      </c>
      <c r="O39" s="305">
        <f t="shared" si="10"/>
        <v>130722.78919395525</v>
      </c>
      <c r="P39" s="305">
        <f t="shared" si="10"/>
        <v>4022.750220713916</v>
      </c>
      <c r="Q39" s="305">
        <f t="shared" si="10"/>
        <v>4274.1721095085359</v>
      </c>
      <c r="R39" s="305">
        <f t="shared" si="10"/>
        <v>4559.1169168091046</v>
      </c>
      <c r="S39" s="305">
        <f t="shared" si="10"/>
        <v>4507.0538394383266</v>
      </c>
      <c r="T39" s="305">
        <f t="shared" si="11"/>
        <v>4853.7502886258899</v>
      </c>
      <c r="U39" s="305">
        <f t="shared" si="11"/>
        <v>5258.2294793447145</v>
      </c>
      <c r="V39" s="305">
        <f t="shared" si="11"/>
        <v>5736.2503411033249</v>
      </c>
      <c r="W39" s="305">
        <f t="shared" si="11"/>
        <v>6309.8753752136572</v>
      </c>
      <c r="X39" s="305">
        <f t="shared" si="11"/>
        <v>7643.750416904064</v>
      </c>
      <c r="Y39" s="305">
        <f t="shared" si="11"/>
        <v>7429.8442190170717</v>
      </c>
      <c r="Z39" s="305">
        <f t="shared" si="11"/>
        <v>8491.25053601951</v>
      </c>
      <c r="AA39" s="305">
        <f>AA38</f>
        <v>9906.458958689429</v>
      </c>
      <c r="AB39" s="305">
        <f>AB38</f>
        <v>11887.750750427314</v>
      </c>
      <c r="AC39" s="305">
        <f>AC38</f>
        <v>17198.438438034143</v>
      </c>
      <c r="AD39" s="305">
        <f>AD38</f>
        <v>20084.25125071219</v>
      </c>
      <c r="AE39" s="305">
        <f>AE38</f>
        <v>30533.376876068287</v>
      </c>
      <c r="AF39" s="308">
        <f>AF7</f>
        <v>62284.753752136574</v>
      </c>
      <c r="AG39" s="305">
        <f>AG7</f>
        <v>59447.247996732927</v>
      </c>
      <c r="AH39" s="310">
        <f t="shared" si="6"/>
        <v>1150372.8346658584</v>
      </c>
      <c r="AL39" s="297" t="e">
        <f t="shared" ca="1" si="8"/>
        <v>#VALUE!</v>
      </c>
    </row>
    <row r="40" spans="1:38" ht="14.25" thickTop="1" thickBot="1">
      <c r="C40" s="311" t="s">
        <v>0</v>
      </c>
      <c r="D40" s="312">
        <f t="shared" ref="D40:AG40" si="12">SUM(D9:D39)</f>
        <v>563262.22957299964</v>
      </c>
      <c r="E40" s="312">
        <f t="shared" si="12"/>
        <v>345639.16425320634</v>
      </c>
      <c r="F40" s="312">
        <f t="shared" si="12"/>
        <v>302337.51106105704</v>
      </c>
      <c r="G40" s="312">
        <f t="shared" si="12"/>
        <v>1393737.2138793971</v>
      </c>
      <c r="H40" s="312">
        <f t="shared" si="12"/>
        <v>5209890.1252055857</v>
      </c>
      <c r="I40" s="312">
        <f t="shared" si="12"/>
        <v>727898.33131925284</v>
      </c>
      <c r="J40" s="312">
        <f t="shared" si="12"/>
        <v>1713105.5265664218</v>
      </c>
      <c r="K40" s="312">
        <f t="shared" si="12"/>
        <v>1191741.8254753244</v>
      </c>
      <c r="L40" s="312">
        <f t="shared" si="12"/>
        <v>1924165.9188391748</v>
      </c>
      <c r="M40" s="313">
        <f t="shared" si="12"/>
        <v>999778.07055976021</v>
      </c>
      <c r="N40" s="312">
        <f t="shared" si="12"/>
        <v>2653505.4796216646</v>
      </c>
      <c r="O40" s="312">
        <f t="shared" si="12"/>
        <v>2353010.2054911945</v>
      </c>
      <c r="P40" s="312">
        <f t="shared" si="12"/>
        <v>68386.753752136588</v>
      </c>
      <c r="Q40" s="312">
        <f t="shared" si="12"/>
        <v>68386.753752136588</v>
      </c>
      <c r="R40" s="312">
        <f t="shared" si="12"/>
        <v>68386.753752136588</v>
      </c>
      <c r="S40" s="312">
        <f t="shared" si="12"/>
        <v>63098.753752136567</v>
      </c>
      <c r="T40" s="312">
        <f t="shared" si="12"/>
        <v>63098.753752136552</v>
      </c>
      <c r="U40" s="312">
        <f t="shared" si="12"/>
        <v>63098.753752136574</v>
      </c>
      <c r="V40" s="312">
        <f t="shared" si="12"/>
        <v>63098.753752136574</v>
      </c>
      <c r="W40" s="312">
        <f t="shared" si="12"/>
        <v>63098.753752136559</v>
      </c>
      <c r="X40" s="312">
        <f t="shared" si="12"/>
        <v>68793.753752136574</v>
      </c>
      <c r="Y40" s="312">
        <f t="shared" si="12"/>
        <v>59438.753752136588</v>
      </c>
      <c r="Z40" s="312">
        <f t="shared" si="12"/>
        <v>59438.753752136559</v>
      </c>
      <c r="AA40" s="312">
        <f t="shared" si="12"/>
        <v>59438.753752136574</v>
      </c>
      <c r="AB40" s="312">
        <f t="shared" si="12"/>
        <v>59438.753752136574</v>
      </c>
      <c r="AC40" s="312">
        <f t="shared" si="12"/>
        <v>68793.753752136574</v>
      </c>
      <c r="AD40" s="312">
        <f t="shared" si="12"/>
        <v>60252.753752136574</v>
      </c>
      <c r="AE40" s="312">
        <f t="shared" si="12"/>
        <v>61066.753752136574</v>
      </c>
      <c r="AF40" s="314">
        <f t="shared" si="12"/>
        <v>62284.753752136574</v>
      </c>
      <c r="AG40" s="312">
        <f t="shared" si="12"/>
        <v>59447.247996732927</v>
      </c>
      <c r="AH40" s="315">
        <f>SUM(AH9:AH39)</f>
        <v>20517119.663628098</v>
      </c>
    </row>
    <row r="42" spans="1:38" ht="13.5" thickBot="1"/>
    <row r="43" spans="1:38">
      <c r="A43" s="292">
        <v>0</v>
      </c>
      <c r="B43" s="13" t="e">
        <v>#VALUE!</v>
      </c>
      <c r="C43" s="293" t="s">
        <v>257</v>
      </c>
      <c r="D43" s="294"/>
      <c r="E43" s="295">
        <v>25</v>
      </c>
      <c r="F43" s="294"/>
      <c r="G43" s="294"/>
      <c r="H43" s="294"/>
      <c r="I43" s="294"/>
      <c r="J43" s="294"/>
      <c r="K43" s="294"/>
      <c r="L43" s="294"/>
      <c r="M43" s="294"/>
      <c r="N43" s="294"/>
      <c r="O43" s="294"/>
      <c r="P43" s="294"/>
      <c r="Q43" s="294"/>
      <c r="R43" s="294"/>
      <c r="S43" s="294"/>
      <c r="T43" s="294"/>
      <c r="U43" s="294"/>
      <c r="V43" s="294"/>
      <c r="W43" s="294"/>
      <c r="X43" s="294"/>
      <c r="Y43" s="294"/>
      <c r="Z43" s="294"/>
      <c r="AA43" s="294"/>
      <c r="AB43" s="294"/>
      <c r="AC43" s="294"/>
      <c r="AD43" s="294"/>
      <c r="AE43" s="294"/>
      <c r="AF43" s="294"/>
      <c r="AG43" s="294"/>
      <c r="AH43" s="296"/>
    </row>
    <row r="44" spans="1:38">
      <c r="A44" s="297">
        <v>0</v>
      </c>
      <c r="B44" s="15" t="e">
        <f>AH44</f>
        <v>#VALUE!</v>
      </c>
      <c r="C44" s="298" t="s">
        <v>256</v>
      </c>
      <c r="D44" s="299" t="e">
        <v>#VALUE!</v>
      </c>
      <c r="E44" s="299" t="e">
        <v>#VALUE!</v>
      </c>
      <c r="F44" s="299" t="e">
        <v>#VALUE!</v>
      </c>
      <c r="G44" s="299" t="e">
        <v>#VALUE!</v>
      </c>
      <c r="H44" s="299" t="e">
        <v>#VALUE!</v>
      </c>
      <c r="I44" s="299" t="e">
        <v>#VALUE!</v>
      </c>
      <c r="J44" s="299" t="e">
        <v>#VALUE!</v>
      </c>
      <c r="K44" s="299" t="e">
        <v>#VALUE!</v>
      </c>
      <c r="L44" s="299" t="e">
        <v>#VALUE!</v>
      </c>
      <c r="M44" s="299" t="e">
        <v>#VALUE!</v>
      </c>
      <c r="N44" s="299" t="e">
        <v>#VALUE!</v>
      </c>
      <c r="O44" s="299" t="e">
        <v>#VALUE!</v>
      </c>
      <c r="P44" s="299" t="e">
        <v>#VALUE!</v>
      </c>
      <c r="Q44" s="299" t="e">
        <v>#VALUE!</v>
      </c>
      <c r="R44" s="299" t="e">
        <v>#VALUE!</v>
      </c>
      <c r="S44" s="299" t="e">
        <v>#VALUE!</v>
      </c>
      <c r="T44" s="299" t="e">
        <v>#VALUE!</v>
      </c>
      <c r="U44" s="299" t="e">
        <v>#VALUE!</v>
      </c>
      <c r="V44" s="299" t="e">
        <v>#VALUE!</v>
      </c>
      <c r="W44" s="299" t="e">
        <v>#VALUE!</v>
      </c>
      <c r="X44" s="299" t="e">
        <v>#VALUE!</v>
      </c>
      <c r="Y44" s="299" t="e">
        <v>#VALUE!</v>
      </c>
      <c r="Z44" s="299" t="e">
        <v>#VALUE!</v>
      </c>
      <c r="AA44" s="299" t="e">
        <v>#VALUE!</v>
      </c>
      <c r="AB44" s="299" t="e">
        <v>#VALUE!</v>
      </c>
      <c r="AC44" s="299" t="e">
        <v>#VALUE!</v>
      </c>
      <c r="AD44" s="299" t="e">
        <v>#VALUE!</v>
      </c>
      <c r="AE44" s="299" t="e">
        <v>#VALUE!</v>
      </c>
      <c r="AF44" s="299" t="e">
        <v>#VALUE!</v>
      </c>
      <c r="AG44" s="299" t="e">
        <v>#VALUE!</v>
      </c>
      <c r="AH44" s="300" t="e">
        <f>SUM(D44:AG44)</f>
        <v>#VALUE!</v>
      </c>
    </row>
    <row r="45" spans="1:38">
      <c r="C45" s="301" t="s">
        <v>1</v>
      </c>
      <c r="D45" s="316">
        <v>1</v>
      </c>
      <c r="E45" s="302">
        <f t="shared" ref="E45:AG45" si="13">D45+1</f>
        <v>2</v>
      </c>
      <c r="F45" s="316">
        <f t="shared" si="13"/>
        <v>3</v>
      </c>
      <c r="G45" s="316">
        <f t="shared" si="13"/>
        <v>4</v>
      </c>
      <c r="H45" s="316">
        <f t="shared" si="13"/>
        <v>5</v>
      </c>
      <c r="I45" s="316">
        <f t="shared" si="13"/>
        <v>6</v>
      </c>
      <c r="J45" s="316">
        <f t="shared" si="13"/>
        <v>7</v>
      </c>
      <c r="K45" s="316">
        <f t="shared" si="13"/>
        <v>8</v>
      </c>
      <c r="L45" s="317">
        <f t="shared" si="13"/>
        <v>9</v>
      </c>
      <c r="M45" s="316">
        <f t="shared" si="13"/>
        <v>10</v>
      </c>
      <c r="N45" s="316">
        <f t="shared" si="13"/>
        <v>11</v>
      </c>
      <c r="O45" s="316">
        <f t="shared" si="13"/>
        <v>12</v>
      </c>
      <c r="P45" s="316">
        <f t="shared" si="13"/>
        <v>13</v>
      </c>
      <c r="Q45" s="316">
        <f t="shared" si="13"/>
        <v>14</v>
      </c>
      <c r="R45" s="316">
        <f t="shared" si="13"/>
        <v>15</v>
      </c>
      <c r="S45" s="316">
        <f t="shared" si="13"/>
        <v>16</v>
      </c>
      <c r="T45" s="316">
        <f t="shared" si="13"/>
        <v>17</v>
      </c>
      <c r="U45" s="316">
        <f t="shared" si="13"/>
        <v>18</v>
      </c>
      <c r="V45" s="316">
        <f t="shared" si="13"/>
        <v>19</v>
      </c>
      <c r="W45" s="316">
        <f t="shared" si="13"/>
        <v>20</v>
      </c>
      <c r="X45" s="316">
        <f t="shared" si="13"/>
        <v>21</v>
      </c>
      <c r="Y45" s="316">
        <f t="shared" si="13"/>
        <v>22</v>
      </c>
      <c r="Z45" s="316">
        <f t="shared" si="13"/>
        <v>23</v>
      </c>
      <c r="AA45" s="316">
        <f t="shared" si="13"/>
        <v>24</v>
      </c>
      <c r="AB45" s="316">
        <f t="shared" si="13"/>
        <v>25</v>
      </c>
      <c r="AC45" s="316">
        <f t="shared" si="13"/>
        <v>26</v>
      </c>
      <c r="AD45" s="316">
        <f t="shared" si="13"/>
        <v>27</v>
      </c>
      <c r="AE45" s="316">
        <f t="shared" si="13"/>
        <v>28</v>
      </c>
      <c r="AF45" s="316">
        <f t="shared" si="13"/>
        <v>29</v>
      </c>
      <c r="AG45" s="316">
        <f t="shared" si="13"/>
        <v>30</v>
      </c>
      <c r="AH45" s="303" t="s">
        <v>0</v>
      </c>
    </row>
    <row r="46" spans="1:38">
      <c r="C46" s="304">
        <v>0</v>
      </c>
      <c r="D46" s="318"/>
      <c r="E46" s="305" t="str">
        <f>IF(($E$43-E$45)&gt;=($E$43-$C46),(E$44/$E$43),"")</f>
        <v/>
      </c>
      <c r="F46" s="318"/>
      <c r="G46" s="318"/>
      <c r="H46" s="318"/>
      <c r="I46" s="318"/>
      <c r="J46" s="318"/>
      <c r="K46" s="319"/>
      <c r="L46" s="318"/>
      <c r="M46" s="319"/>
      <c r="N46" s="318"/>
      <c r="O46" s="318"/>
      <c r="P46" s="318"/>
      <c r="Q46" s="318"/>
      <c r="R46" s="318"/>
      <c r="S46" s="318"/>
      <c r="T46" s="318"/>
      <c r="U46" s="318"/>
      <c r="V46" s="318"/>
      <c r="W46" s="318"/>
      <c r="X46" s="318"/>
      <c r="Y46" s="318"/>
      <c r="Z46" s="318"/>
      <c r="AA46" s="318"/>
      <c r="AB46" s="318"/>
      <c r="AC46" s="318"/>
      <c r="AD46" s="318"/>
      <c r="AE46" s="318"/>
      <c r="AF46" s="318"/>
      <c r="AG46" s="318"/>
      <c r="AH46" s="306">
        <f t="shared" ref="AH46:AH76" si="14">SUM(D46:AG46)</f>
        <v>0</v>
      </c>
    </row>
    <row r="47" spans="1:38">
      <c r="C47" s="307">
        <f t="shared" ref="C47:C76" si="15">C46+1</f>
        <v>1</v>
      </c>
      <c r="D47" s="320"/>
      <c r="E47" s="305"/>
      <c r="F47" s="305"/>
      <c r="G47" s="305"/>
      <c r="H47" s="305"/>
      <c r="I47" s="305"/>
      <c r="J47" s="305"/>
      <c r="K47" s="305"/>
      <c r="L47" s="305"/>
      <c r="M47" s="309"/>
      <c r="N47" s="305"/>
      <c r="O47" s="305"/>
      <c r="P47" s="305"/>
      <c r="Q47" s="305"/>
      <c r="R47" s="305"/>
      <c r="S47" s="305"/>
      <c r="T47" s="305"/>
      <c r="U47" s="305"/>
      <c r="V47" s="305"/>
      <c r="W47" s="305"/>
      <c r="X47" s="305"/>
      <c r="Y47" s="305"/>
      <c r="Z47" s="305"/>
      <c r="AA47" s="305"/>
      <c r="AB47" s="305"/>
      <c r="AC47" s="305"/>
      <c r="AD47" s="305"/>
      <c r="AE47" s="305"/>
      <c r="AF47" s="305"/>
      <c r="AG47" s="305"/>
      <c r="AH47" s="306">
        <f t="shared" si="14"/>
        <v>0</v>
      </c>
    </row>
    <row r="48" spans="1:38">
      <c r="C48" s="307">
        <f t="shared" si="15"/>
        <v>2</v>
      </c>
      <c r="D48" s="308" t="e">
        <f>D$44/25</f>
        <v>#VALUE!</v>
      </c>
      <c r="E48" s="320"/>
      <c r="F48" s="305"/>
      <c r="G48" s="305"/>
      <c r="H48" s="305"/>
      <c r="I48" s="305"/>
      <c r="J48" s="305"/>
      <c r="K48" s="305"/>
      <c r="L48" s="305"/>
      <c r="M48" s="309"/>
      <c r="N48" s="305"/>
      <c r="O48" s="305"/>
      <c r="P48" s="305"/>
      <c r="Q48" s="305"/>
      <c r="R48" s="305"/>
      <c r="S48" s="305"/>
      <c r="T48" s="305"/>
      <c r="U48" s="305"/>
      <c r="V48" s="305"/>
      <c r="W48" s="305"/>
      <c r="X48" s="305"/>
      <c r="Y48" s="305"/>
      <c r="Z48" s="305"/>
      <c r="AA48" s="305"/>
      <c r="AB48" s="305"/>
      <c r="AC48" s="305"/>
      <c r="AD48" s="305"/>
      <c r="AE48" s="305"/>
      <c r="AF48" s="305"/>
      <c r="AG48" s="305"/>
      <c r="AH48" s="306" t="e">
        <f t="shared" si="14"/>
        <v>#VALUE!</v>
      </c>
    </row>
    <row r="49" spans="3:34">
      <c r="C49" s="307">
        <f t="shared" si="15"/>
        <v>3</v>
      </c>
      <c r="D49" s="305" t="e">
        <f>D48</f>
        <v>#VALUE!</v>
      </c>
      <c r="E49" s="308" t="e">
        <f>E$44/25</f>
        <v>#VALUE!</v>
      </c>
      <c r="F49" s="320"/>
      <c r="G49" s="305"/>
      <c r="H49" s="305"/>
      <c r="I49" s="305"/>
      <c r="J49" s="305"/>
      <c r="K49" s="305"/>
      <c r="L49" s="305"/>
      <c r="M49" s="309"/>
      <c r="N49" s="305"/>
      <c r="O49" s="305"/>
      <c r="P49" s="305"/>
      <c r="Q49" s="305"/>
      <c r="R49" s="305"/>
      <c r="S49" s="305"/>
      <c r="T49" s="305"/>
      <c r="U49" s="305"/>
      <c r="V49" s="305"/>
      <c r="W49" s="305"/>
      <c r="X49" s="305"/>
      <c r="Y49" s="305"/>
      <c r="Z49" s="305"/>
      <c r="AA49" s="305"/>
      <c r="AB49" s="305"/>
      <c r="AC49" s="305"/>
      <c r="AD49" s="305"/>
      <c r="AE49" s="305"/>
      <c r="AF49" s="305"/>
      <c r="AG49" s="305"/>
      <c r="AH49" s="306" t="e">
        <f t="shared" si="14"/>
        <v>#VALUE!</v>
      </c>
    </row>
    <row r="50" spans="3:34">
      <c r="C50" s="307">
        <f t="shared" si="15"/>
        <v>4</v>
      </c>
      <c r="D50" s="305" t="e">
        <f t="shared" ref="D50:S65" si="16">D49</f>
        <v>#VALUE!</v>
      </c>
      <c r="E50" s="305" t="e">
        <f>E49</f>
        <v>#VALUE!</v>
      </c>
      <c r="F50" s="308" t="e">
        <f>F$44/25</f>
        <v>#VALUE!</v>
      </c>
      <c r="G50" s="320"/>
      <c r="H50" s="305"/>
      <c r="I50" s="305"/>
      <c r="J50" s="305"/>
      <c r="K50" s="305"/>
      <c r="L50" s="305"/>
      <c r="M50" s="309"/>
      <c r="N50" s="305"/>
      <c r="O50" s="305"/>
      <c r="P50" s="305"/>
      <c r="Q50" s="305"/>
      <c r="R50" s="305"/>
      <c r="S50" s="305"/>
      <c r="T50" s="305"/>
      <c r="U50" s="305"/>
      <c r="V50" s="305"/>
      <c r="W50" s="305"/>
      <c r="X50" s="305"/>
      <c r="Y50" s="305"/>
      <c r="Z50" s="305"/>
      <c r="AA50" s="305"/>
      <c r="AB50" s="305"/>
      <c r="AC50" s="305"/>
      <c r="AD50" s="305"/>
      <c r="AE50" s="305"/>
      <c r="AF50" s="305"/>
      <c r="AG50" s="305"/>
      <c r="AH50" s="306" t="e">
        <f t="shared" si="14"/>
        <v>#VALUE!</v>
      </c>
    </row>
    <row r="51" spans="3:34">
      <c r="C51" s="307">
        <f t="shared" si="15"/>
        <v>5</v>
      </c>
      <c r="D51" s="305" t="e">
        <f t="shared" si="16"/>
        <v>#VALUE!</v>
      </c>
      <c r="E51" s="305" t="e">
        <f t="shared" si="16"/>
        <v>#VALUE!</v>
      </c>
      <c r="F51" s="305" t="e">
        <f>F50</f>
        <v>#VALUE!</v>
      </c>
      <c r="G51" s="308" t="e">
        <f>G$44/25</f>
        <v>#VALUE!</v>
      </c>
      <c r="H51" s="320"/>
      <c r="I51" s="305"/>
      <c r="J51" s="305"/>
      <c r="K51" s="305"/>
      <c r="L51" s="305"/>
      <c r="M51" s="309"/>
      <c r="N51" s="305"/>
      <c r="O51" s="305"/>
      <c r="P51" s="305"/>
      <c r="Q51" s="305"/>
      <c r="R51" s="305"/>
      <c r="S51" s="305"/>
      <c r="T51" s="305"/>
      <c r="U51" s="305"/>
      <c r="V51" s="305"/>
      <c r="W51" s="305"/>
      <c r="X51" s="305"/>
      <c r="Y51" s="305"/>
      <c r="Z51" s="305"/>
      <c r="AA51" s="305"/>
      <c r="AB51" s="305"/>
      <c r="AC51" s="305"/>
      <c r="AD51" s="305"/>
      <c r="AE51" s="305"/>
      <c r="AF51" s="305"/>
      <c r="AG51" s="305"/>
      <c r="AH51" s="306" t="e">
        <f t="shared" si="14"/>
        <v>#VALUE!</v>
      </c>
    </row>
    <row r="52" spans="3:34">
      <c r="C52" s="307">
        <f t="shared" si="15"/>
        <v>6</v>
      </c>
      <c r="D52" s="305" t="e">
        <f t="shared" si="16"/>
        <v>#VALUE!</v>
      </c>
      <c r="E52" s="305" t="e">
        <f t="shared" si="16"/>
        <v>#VALUE!</v>
      </c>
      <c r="F52" s="305" t="e">
        <f t="shared" si="16"/>
        <v>#VALUE!</v>
      </c>
      <c r="G52" s="305" t="e">
        <f>G51</f>
        <v>#VALUE!</v>
      </c>
      <c r="H52" s="308" t="e">
        <f>H$44/25</f>
        <v>#VALUE!</v>
      </c>
      <c r="I52" s="320"/>
      <c r="J52" s="305"/>
      <c r="K52" s="305"/>
      <c r="L52" s="305"/>
      <c r="M52" s="309"/>
      <c r="N52" s="305"/>
      <c r="O52" s="305"/>
      <c r="P52" s="305"/>
      <c r="Q52" s="305"/>
      <c r="R52" s="305"/>
      <c r="S52" s="305"/>
      <c r="T52" s="305"/>
      <c r="U52" s="305"/>
      <c r="V52" s="305"/>
      <c r="W52" s="305"/>
      <c r="X52" s="305"/>
      <c r="Y52" s="305"/>
      <c r="Z52" s="305"/>
      <c r="AA52" s="305"/>
      <c r="AB52" s="305"/>
      <c r="AC52" s="305"/>
      <c r="AD52" s="305"/>
      <c r="AE52" s="305"/>
      <c r="AF52" s="305"/>
      <c r="AG52" s="305"/>
      <c r="AH52" s="306" t="e">
        <f t="shared" si="14"/>
        <v>#VALUE!</v>
      </c>
    </row>
    <row r="53" spans="3:34">
      <c r="C53" s="307">
        <f t="shared" si="15"/>
        <v>7</v>
      </c>
      <c r="D53" s="305" t="e">
        <f t="shared" si="16"/>
        <v>#VALUE!</v>
      </c>
      <c r="E53" s="305" t="e">
        <f t="shared" si="16"/>
        <v>#VALUE!</v>
      </c>
      <c r="F53" s="305" t="e">
        <f t="shared" si="16"/>
        <v>#VALUE!</v>
      </c>
      <c r="G53" s="305" t="e">
        <f t="shared" si="16"/>
        <v>#VALUE!</v>
      </c>
      <c r="H53" s="305" t="e">
        <f>H52</f>
        <v>#VALUE!</v>
      </c>
      <c r="I53" s="308" t="e">
        <f>I$44/24</f>
        <v>#VALUE!</v>
      </c>
      <c r="J53" s="320"/>
      <c r="K53" s="305"/>
      <c r="L53" s="305"/>
      <c r="M53" s="309"/>
      <c r="N53" s="305"/>
      <c r="O53" s="305"/>
      <c r="P53" s="305"/>
      <c r="Q53" s="305"/>
      <c r="R53" s="305"/>
      <c r="S53" s="305"/>
      <c r="T53" s="305"/>
      <c r="U53" s="305"/>
      <c r="V53" s="305"/>
      <c r="W53" s="305"/>
      <c r="X53" s="305"/>
      <c r="Y53" s="305"/>
      <c r="Z53" s="305"/>
      <c r="AA53" s="305"/>
      <c r="AB53" s="305"/>
      <c r="AC53" s="305"/>
      <c r="AD53" s="305"/>
      <c r="AE53" s="305"/>
      <c r="AF53" s="305"/>
      <c r="AG53" s="305"/>
      <c r="AH53" s="306" t="e">
        <f t="shared" si="14"/>
        <v>#VALUE!</v>
      </c>
    </row>
    <row r="54" spans="3:34">
      <c r="C54" s="307">
        <f t="shared" si="15"/>
        <v>8</v>
      </c>
      <c r="D54" s="305" t="e">
        <f t="shared" si="16"/>
        <v>#VALUE!</v>
      </c>
      <c r="E54" s="305" t="e">
        <f t="shared" si="16"/>
        <v>#VALUE!</v>
      </c>
      <c r="F54" s="305" t="e">
        <f t="shared" si="16"/>
        <v>#VALUE!</v>
      </c>
      <c r="G54" s="305" t="e">
        <f t="shared" si="16"/>
        <v>#VALUE!</v>
      </c>
      <c r="H54" s="305" t="e">
        <f t="shared" si="16"/>
        <v>#VALUE!</v>
      </c>
      <c r="I54" s="305" t="e">
        <f>I53</f>
        <v>#VALUE!</v>
      </c>
      <c r="J54" s="308" t="e">
        <f>J$44/23</f>
        <v>#VALUE!</v>
      </c>
      <c r="K54" s="320"/>
      <c r="L54" s="305"/>
      <c r="M54" s="309"/>
      <c r="N54" s="305"/>
      <c r="O54" s="305"/>
      <c r="P54" s="305"/>
      <c r="Q54" s="305"/>
      <c r="R54" s="305"/>
      <c r="S54" s="305"/>
      <c r="T54" s="305"/>
      <c r="U54" s="305"/>
      <c r="V54" s="305"/>
      <c r="W54" s="305"/>
      <c r="X54" s="305"/>
      <c r="Y54" s="305"/>
      <c r="Z54" s="305"/>
      <c r="AA54" s="305"/>
      <c r="AB54" s="305"/>
      <c r="AC54" s="305"/>
      <c r="AD54" s="305"/>
      <c r="AE54" s="305"/>
      <c r="AF54" s="305"/>
      <c r="AG54" s="305"/>
      <c r="AH54" s="306" t="e">
        <f t="shared" si="14"/>
        <v>#VALUE!</v>
      </c>
    </row>
    <row r="55" spans="3:34">
      <c r="C55" s="307">
        <f t="shared" si="15"/>
        <v>9</v>
      </c>
      <c r="D55" s="305" t="e">
        <f t="shared" si="16"/>
        <v>#VALUE!</v>
      </c>
      <c r="E55" s="305" t="e">
        <f t="shared" si="16"/>
        <v>#VALUE!</v>
      </c>
      <c r="F55" s="305" t="e">
        <f t="shared" si="16"/>
        <v>#VALUE!</v>
      </c>
      <c r="G55" s="305" t="e">
        <f t="shared" si="16"/>
        <v>#VALUE!</v>
      </c>
      <c r="H55" s="305" t="e">
        <f t="shared" si="16"/>
        <v>#VALUE!</v>
      </c>
      <c r="I55" s="305" t="e">
        <f t="shared" si="16"/>
        <v>#VALUE!</v>
      </c>
      <c r="J55" s="305" t="e">
        <f>J54</f>
        <v>#VALUE!</v>
      </c>
      <c r="K55" s="308" t="e">
        <f>K$44/22</f>
        <v>#VALUE!</v>
      </c>
      <c r="L55" s="320"/>
      <c r="M55" s="309"/>
      <c r="N55" s="305"/>
      <c r="O55" s="305"/>
      <c r="P55" s="305"/>
      <c r="Q55" s="305"/>
      <c r="R55" s="305"/>
      <c r="S55" s="305"/>
      <c r="T55" s="305"/>
      <c r="U55" s="305"/>
      <c r="V55" s="305"/>
      <c r="W55" s="305"/>
      <c r="X55" s="305"/>
      <c r="Y55" s="305"/>
      <c r="Z55" s="305"/>
      <c r="AA55" s="305"/>
      <c r="AB55" s="305"/>
      <c r="AC55" s="305"/>
      <c r="AD55" s="305"/>
      <c r="AE55" s="305"/>
      <c r="AF55" s="305"/>
      <c r="AG55" s="305"/>
      <c r="AH55" s="306" t="e">
        <f t="shared" si="14"/>
        <v>#VALUE!</v>
      </c>
    </row>
    <row r="56" spans="3:34">
      <c r="C56" s="307">
        <f t="shared" si="15"/>
        <v>10</v>
      </c>
      <c r="D56" s="305" t="e">
        <f t="shared" si="16"/>
        <v>#VALUE!</v>
      </c>
      <c r="E56" s="305" t="e">
        <f t="shared" si="16"/>
        <v>#VALUE!</v>
      </c>
      <c r="F56" s="305" t="e">
        <f t="shared" si="16"/>
        <v>#VALUE!</v>
      </c>
      <c r="G56" s="305" t="e">
        <f t="shared" si="16"/>
        <v>#VALUE!</v>
      </c>
      <c r="H56" s="305" t="e">
        <f t="shared" si="16"/>
        <v>#VALUE!</v>
      </c>
      <c r="I56" s="305" t="e">
        <f t="shared" si="16"/>
        <v>#VALUE!</v>
      </c>
      <c r="J56" s="305" t="e">
        <f t="shared" si="16"/>
        <v>#VALUE!</v>
      </c>
      <c r="K56" s="305" t="e">
        <f>K55</f>
        <v>#VALUE!</v>
      </c>
      <c r="L56" s="308" t="e">
        <f>L$44/21</f>
        <v>#VALUE!</v>
      </c>
      <c r="M56" s="321"/>
      <c r="N56" s="305"/>
      <c r="O56" s="305"/>
      <c r="P56" s="305"/>
      <c r="Q56" s="305"/>
      <c r="R56" s="305"/>
      <c r="S56" s="305"/>
      <c r="T56" s="305"/>
      <c r="U56" s="305"/>
      <c r="V56" s="305"/>
      <c r="W56" s="305"/>
      <c r="X56" s="305"/>
      <c r="Y56" s="305"/>
      <c r="Z56" s="305"/>
      <c r="AA56" s="305"/>
      <c r="AB56" s="305"/>
      <c r="AC56" s="305"/>
      <c r="AD56" s="305"/>
      <c r="AE56" s="305"/>
      <c r="AF56" s="305"/>
      <c r="AG56" s="305"/>
      <c r="AH56" s="306" t="e">
        <f t="shared" si="14"/>
        <v>#VALUE!</v>
      </c>
    </row>
    <row r="57" spans="3:34">
      <c r="C57" s="307">
        <f t="shared" si="15"/>
        <v>11</v>
      </c>
      <c r="D57" s="305" t="e">
        <f t="shared" si="16"/>
        <v>#VALUE!</v>
      </c>
      <c r="E57" s="305" t="e">
        <f t="shared" si="16"/>
        <v>#VALUE!</v>
      </c>
      <c r="F57" s="305" t="e">
        <f t="shared" si="16"/>
        <v>#VALUE!</v>
      </c>
      <c r="G57" s="305" t="e">
        <f t="shared" si="16"/>
        <v>#VALUE!</v>
      </c>
      <c r="H57" s="305" t="e">
        <f t="shared" si="16"/>
        <v>#VALUE!</v>
      </c>
      <c r="I57" s="305" t="e">
        <f t="shared" si="16"/>
        <v>#VALUE!</v>
      </c>
      <c r="J57" s="305" t="e">
        <f t="shared" si="16"/>
        <v>#VALUE!</v>
      </c>
      <c r="K57" s="305" t="e">
        <f t="shared" si="16"/>
        <v>#VALUE!</v>
      </c>
      <c r="L57" s="305" t="e">
        <f t="shared" si="16"/>
        <v>#VALUE!</v>
      </c>
      <c r="M57" s="308" t="e">
        <f>M$44/20</f>
        <v>#VALUE!</v>
      </c>
      <c r="N57" s="320"/>
      <c r="O57" s="305"/>
      <c r="P57" s="305"/>
      <c r="Q57" s="305"/>
      <c r="R57" s="305"/>
      <c r="S57" s="305"/>
      <c r="T57" s="305"/>
      <c r="U57" s="305"/>
      <c r="V57" s="305"/>
      <c r="W57" s="305"/>
      <c r="X57" s="305"/>
      <c r="Y57" s="305"/>
      <c r="Z57" s="305"/>
      <c r="AA57" s="305"/>
      <c r="AB57" s="305"/>
      <c r="AC57" s="305"/>
      <c r="AD57" s="305"/>
      <c r="AE57" s="305"/>
      <c r="AF57" s="305"/>
      <c r="AG57" s="305"/>
      <c r="AH57" s="306" t="e">
        <f t="shared" si="14"/>
        <v>#VALUE!</v>
      </c>
    </row>
    <row r="58" spans="3:34">
      <c r="C58" s="307">
        <f t="shared" si="15"/>
        <v>12</v>
      </c>
      <c r="D58" s="305" t="e">
        <f t="shared" si="16"/>
        <v>#VALUE!</v>
      </c>
      <c r="E58" s="305" t="e">
        <f t="shared" si="16"/>
        <v>#VALUE!</v>
      </c>
      <c r="F58" s="305" t="e">
        <f t="shared" si="16"/>
        <v>#VALUE!</v>
      </c>
      <c r="G58" s="305" t="e">
        <f t="shared" si="16"/>
        <v>#VALUE!</v>
      </c>
      <c r="H58" s="305" t="e">
        <f t="shared" si="16"/>
        <v>#VALUE!</v>
      </c>
      <c r="I58" s="305" t="e">
        <f t="shared" si="16"/>
        <v>#VALUE!</v>
      </c>
      <c r="J58" s="305" t="e">
        <f t="shared" si="16"/>
        <v>#VALUE!</v>
      </c>
      <c r="K58" s="305" t="e">
        <f t="shared" si="16"/>
        <v>#VALUE!</v>
      </c>
      <c r="L58" s="305" t="e">
        <f t="shared" si="16"/>
        <v>#VALUE!</v>
      </c>
      <c r="M58" s="309" t="e">
        <f t="shared" si="16"/>
        <v>#VALUE!</v>
      </c>
      <c r="N58" s="308" t="e">
        <f>N$44/19</f>
        <v>#VALUE!</v>
      </c>
      <c r="O58" s="320"/>
      <c r="P58" s="305"/>
      <c r="Q58" s="305"/>
      <c r="R58" s="305"/>
      <c r="S58" s="305"/>
      <c r="T58" s="305"/>
      <c r="U58" s="305"/>
      <c r="V58" s="305"/>
      <c r="W58" s="305"/>
      <c r="X58" s="305"/>
      <c r="Y58" s="305"/>
      <c r="Z58" s="305"/>
      <c r="AA58" s="305"/>
      <c r="AB58" s="305"/>
      <c r="AC58" s="305"/>
      <c r="AD58" s="305"/>
      <c r="AE58" s="305"/>
      <c r="AF58" s="305"/>
      <c r="AG58" s="305"/>
      <c r="AH58" s="306" t="e">
        <f t="shared" si="14"/>
        <v>#VALUE!</v>
      </c>
    </row>
    <row r="59" spans="3:34">
      <c r="C59" s="307">
        <f t="shared" si="15"/>
        <v>13</v>
      </c>
      <c r="D59" s="305" t="e">
        <f t="shared" si="16"/>
        <v>#VALUE!</v>
      </c>
      <c r="E59" s="305" t="e">
        <f t="shared" si="16"/>
        <v>#VALUE!</v>
      </c>
      <c r="F59" s="305" t="e">
        <f t="shared" si="16"/>
        <v>#VALUE!</v>
      </c>
      <c r="G59" s="305" t="e">
        <f t="shared" si="16"/>
        <v>#VALUE!</v>
      </c>
      <c r="H59" s="305" t="e">
        <f t="shared" si="16"/>
        <v>#VALUE!</v>
      </c>
      <c r="I59" s="305" t="e">
        <f t="shared" si="16"/>
        <v>#VALUE!</v>
      </c>
      <c r="J59" s="305" t="e">
        <f t="shared" si="16"/>
        <v>#VALUE!</v>
      </c>
      <c r="K59" s="305" t="e">
        <f t="shared" si="16"/>
        <v>#VALUE!</v>
      </c>
      <c r="L59" s="305" t="e">
        <f t="shared" si="16"/>
        <v>#VALUE!</v>
      </c>
      <c r="M59" s="309" t="e">
        <f t="shared" si="16"/>
        <v>#VALUE!</v>
      </c>
      <c r="N59" s="305" t="e">
        <f t="shared" si="16"/>
        <v>#VALUE!</v>
      </c>
      <c r="O59" s="308" t="e">
        <f>O$44/18</f>
        <v>#VALUE!</v>
      </c>
      <c r="P59" s="320"/>
      <c r="Q59" s="305"/>
      <c r="R59" s="305"/>
      <c r="S59" s="305"/>
      <c r="T59" s="305"/>
      <c r="U59" s="305"/>
      <c r="V59" s="305"/>
      <c r="W59" s="305"/>
      <c r="X59" s="305"/>
      <c r="Y59" s="305"/>
      <c r="Z59" s="305"/>
      <c r="AA59" s="305"/>
      <c r="AB59" s="305"/>
      <c r="AC59" s="305"/>
      <c r="AD59" s="305"/>
      <c r="AE59" s="305"/>
      <c r="AF59" s="305"/>
      <c r="AG59" s="305"/>
      <c r="AH59" s="306" t="e">
        <f t="shared" si="14"/>
        <v>#VALUE!</v>
      </c>
    </row>
    <row r="60" spans="3:34">
      <c r="C60" s="307">
        <f t="shared" si="15"/>
        <v>14</v>
      </c>
      <c r="D60" s="305" t="e">
        <f t="shared" si="16"/>
        <v>#VALUE!</v>
      </c>
      <c r="E60" s="305" t="e">
        <f t="shared" si="16"/>
        <v>#VALUE!</v>
      </c>
      <c r="F60" s="305" t="e">
        <f t="shared" si="16"/>
        <v>#VALUE!</v>
      </c>
      <c r="G60" s="305" t="e">
        <f t="shared" si="16"/>
        <v>#VALUE!</v>
      </c>
      <c r="H60" s="305" t="e">
        <f t="shared" si="16"/>
        <v>#VALUE!</v>
      </c>
      <c r="I60" s="305" t="e">
        <f t="shared" si="16"/>
        <v>#VALUE!</v>
      </c>
      <c r="J60" s="305" t="e">
        <f t="shared" si="16"/>
        <v>#VALUE!</v>
      </c>
      <c r="K60" s="305" t="e">
        <f t="shared" si="16"/>
        <v>#VALUE!</v>
      </c>
      <c r="L60" s="305" t="e">
        <f t="shared" si="16"/>
        <v>#VALUE!</v>
      </c>
      <c r="M60" s="309" t="e">
        <f t="shared" si="16"/>
        <v>#VALUE!</v>
      </c>
      <c r="N60" s="305" t="e">
        <f t="shared" si="16"/>
        <v>#VALUE!</v>
      </c>
      <c r="O60" s="305" t="e">
        <f t="shared" si="16"/>
        <v>#VALUE!</v>
      </c>
      <c r="P60" s="308" t="e">
        <f>P$44/17</f>
        <v>#VALUE!</v>
      </c>
      <c r="Q60" s="320"/>
      <c r="R60" s="305"/>
      <c r="S60" s="305"/>
      <c r="T60" s="305"/>
      <c r="U60" s="305"/>
      <c r="V60" s="305"/>
      <c r="W60" s="305"/>
      <c r="X60" s="305"/>
      <c r="Y60" s="305"/>
      <c r="Z60" s="305"/>
      <c r="AA60" s="305"/>
      <c r="AB60" s="305"/>
      <c r="AC60" s="305"/>
      <c r="AD60" s="305"/>
      <c r="AE60" s="305"/>
      <c r="AF60" s="305"/>
      <c r="AG60" s="305"/>
      <c r="AH60" s="306" t="e">
        <f t="shared" si="14"/>
        <v>#VALUE!</v>
      </c>
    </row>
    <row r="61" spans="3:34">
      <c r="C61" s="307">
        <f t="shared" si="15"/>
        <v>15</v>
      </c>
      <c r="D61" s="305" t="e">
        <f t="shared" si="16"/>
        <v>#VALUE!</v>
      </c>
      <c r="E61" s="305" t="e">
        <f t="shared" si="16"/>
        <v>#VALUE!</v>
      </c>
      <c r="F61" s="305" t="e">
        <f t="shared" si="16"/>
        <v>#VALUE!</v>
      </c>
      <c r="G61" s="305" t="e">
        <f t="shared" si="16"/>
        <v>#VALUE!</v>
      </c>
      <c r="H61" s="305" t="e">
        <f t="shared" si="16"/>
        <v>#VALUE!</v>
      </c>
      <c r="I61" s="305" t="e">
        <f t="shared" si="16"/>
        <v>#VALUE!</v>
      </c>
      <c r="J61" s="305" t="e">
        <f t="shared" si="16"/>
        <v>#VALUE!</v>
      </c>
      <c r="K61" s="305" t="e">
        <f t="shared" si="16"/>
        <v>#VALUE!</v>
      </c>
      <c r="L61" s="305" t="e">
        <f t="shared" si="16"/>
        <v>#VALUE!</v>
      </c>
      <c r="M61" s="309" t="e">
        <f t="shared" si="16"/>
        <v>#VALUE!</v>
      </c>
      <c r="N61" s="305" t="e">
        <f t="shared" si="16"/>
        <v>#VALUE!</v>
      </c>
      <c r="O61" s="305" t="e">
        <f t="shared" si="16"/>
        <v>#VALUE!</v>
      </c>
      <c r="P61" s="305" t="e">
        <f t="shared" si="16"/>
        <v>#VALUE!</v>
      </c>
      <c r="Q61" s="308" t="e">
        <f>Q$44/16</f>
        <v>#VALUE!</v>
      </c>
      <c r="R61" s="320"/>
      <c r="S61" s="305"/>
      <c r="T61" s="305"/>
      <c r="U61" s="305"/>
      <c r="V61" s="305"/>
      <c r="W61" s="305"/>
      <c r="X61" s="305"/>
      <c r="Y61" s="305"/>
      <c r="Z61" s="305"/>
      <c r="AA61" s="305"/>
      <c r="AB61" s="305"/>
      <c r="AC61" s="305"/>
      <c r="AD61" s="305"/>
      <c r="AE61" s="305"/>
      <c r="AF61" s="305"/>
      <c r="AG61" s="305"/>
      <c r="AH61" s="306" t="e">
        <f t="shared" si="14"/>
        <v>#VALUE!</v>
      </c>
    </row>
    <row r="62" spans="3:34">
      <c r="C62" s="307">
        <f t="shared" si="15"/>
        <v>16</v>
      </c>
      <c r="D62" s="305" t="e">
        <f t="shared" si="16"/>
        <v>#VALUE!</v>
      </c>
      <c r="E62" s="305" t="e">
        <f t="shared" si="16"/>
        <v>#VALUE!</v>
      </c>
      <c r="F62" s="305" t="e">
        <f t="shared" si="16"/>
        <v>#VALUE!</v>
      </c>
      <c r="G62" s="305" t="e">
        <f t="shared" si="16"/>
        <v>#VALUE!</v>
      </c>
      <c r="H62" s="305" t="e">
        <f t="shared" si="16"/>
        <v>#VALUE!</v>
      </c>
      <c r="I62" s="305" t="e">
        <f t="shared" si="16"/>
        <v>#VALUE!</v>
      </c>
      <c r="J62" s="305" t="e">
        <f t="shared" si="16"/>
        <v>#VALUE!</v>
      </c>
      <c r="K62" s="305" t="e">
        <f t="shared" si="16"/>
        <v>#VALUE!</v>
      </c>
      <c r="L62" s="305" t="e">
        <f t="shared" si="16"/>
        <v>#VALUE!</v>
      </c>
      <c r="M62" s="309" t="e">
        <f t="shared" si="16"/>
        <v>#VALUE!</v>
      </c>
      <c r="N62" s="305" t="e">
        <f t="shared" si="16"/>
        <v>#VALUE!</v>
      </c>
      <c r="O62" s="305" t="e">
        <f t="shared" si="16"/>
        <v>#VALUE!</v>
      </c>
      <c r="P62" s="305" t="e">
        <f t="shared" si="16"/>
        <v>#VALUE!</v>
      </c>
      <c r="Q62" s="305" t="e">
        <f t="shared" si="16"/>
        <v>#VALUE!</v>
      </c>
      <c r="R62" s="308" t="e">
        <f>R$44/15</f>
        <v>#VALUE!</v>
      </c>
      <c r="S62" s="320"/>
      <c r="T62" s="305"/>
      <c r="U62" s="305"/>
      <c r="V62" s="305"/>
      <c r="W62" s="305"/>
      <c r="X62" s="305"/>
      <c r="Y62" s="305"/>
      <c r="Z62" s="305"/>
      <c r="AA62" s="305"/>
      <c r="AB62" s="305"/>
      <c r="AC62" s="305"/>
      <c r="AD62" s="305"/>
      <c r="AE62" s="305"/>
      <c r="AF62" s="305"/>
      <c r="AG62" s="305"/>
      <c r="AH62" s="306" t="e">
        <f t="shared" si="14"/>
        <v>#VALUE!</v>
      </c>
    </row>
    <row r="63" spans="3:34">
      <c r="C63" s="307">
        <f t="shared" si="15"/>
        <v>17</v>
      </c>
      <c r="D63" s="305" t="e">
        <f t="shared" si="16"/>
        <v>#VALUE!</v>
      </c>
      <c r="E63" s="305" t="e">
        <f t="shared" si="16"/>
        <v>#VALUE!</v>
      </c>
      <c r="F63" s="305" t="e">
        <f t="shared" si="16"/>
        <v>#VALUE!</v>
      </c>
      <c r="G63" s="305" t="e">
        <f t="shared" si="16"/>
        <v>#VALUE!</v>
      </c>
      <c r="H63" s="305" t="e">
        <f t="shared" si="16"/>
        <v>#VALUE!</v>
      </c>
      <c r="I63" s="305" t="e">
        <f t="shared" si="16"/>
        <v>#VALUE!</v>
      </c>
      <c r="J63" s="305" t="e">
        <f t="shared" si="16"/>
        <v>#VALUE!</v>
      </c>
      <c r="K63" s="305" t="e">
        <f t="shared" si="16"/>
        <v>#VALUE!</v>
      </c>
      <c r="L63" s="305" t="e">
        <f t="shared" si="16"/>
        <v>#VALUE!</v>
      </c>
      <c r="M63" s="309" t="e">
        <f t="shared" si="16"/>
        <v>#VALUE!</v>
      </c>
      <c r="N63" s="305" t="e">
        <f t="shared" si="16"/>
        <v>#VALUE!</v>
      </c>
      <c r="O63" s="305" t="e">
        <f t="shared" si="16"/>
        <v>#VALUE!</v>
      </c>
      <c r="P63" s="305" t="e">
        <f t="shared" si="16"/>
        <v>#VALUE!</v>
      </c>
      <c r="Q63" s="305" t="e">
        <f t="shared" si="16"/>
        <v>#VALUE!</v>
      </c>
      <c r="R63" s="305" t="e">
        <f t="shared" si="16"/>
        <v>#VALUE!</v>
      </c>
      <c r="S63" s="308" t="e">
        <f>S$44/44</f>
        <v>#VALUE!</v>
      </c>
      <c r="T63" s="320"/>
      <c r="U63" s="305"/>
      <c r="V63" s="305"/>
      <c r="W63" s="305"/>
      <c r="X63" s="305"/>
      <c r="Y63" s="305"/>
      <c r="Z63" s="305"/>
      <c r="AA63" s="305"/>
      <c r="AB63" s="305"/>
      <c r="AC63" s="305"/>
      <c r="AD63" s="305"/>
      <c r="AE63" s="305"/>
      <c r="AF63" s="305"/>
      <c r="AG63" s="305"/>
      <c r="AH63" s="306" t="e">
        <f t="shared" si="14"/>
        <v>#VALUE!</v>
      </c>
    </row>
    <row r="64" spans="3:34">
      <c r="C64" s="307">
        <f t="shared" si="15"/>
        <v>18</v>
      </c>
      <c r="D64" s="305" t="e">
        <f t="shared" si="16"/>
        <v>#VALUE!</v>
      </c>
      <c r="E64" s="305" t="e">
        <f t="shared" si="16"/>
        <v>#VALUE!</v>
      </c>
      <c r="F64" s="305" t="e">
        <f t="shared" si="16"/>
        <v>#VALUE!</v>
      </c>
      <c r="G64" s="305" t="e">
        <f t="shared" si="16"/>
        <v>#VALUE!</v>
      </c>
      <c r="H64" s="305" t="e">
        <f t="shared" si="16"/>
        <v>#VALUE!</v>
      </c>
      <c r="I64" s="305" t="e">
        <f t="shared" si="16"/>
        <v>#VALUE!</v>
      </c>
      <c r="J64" s="305" t="e">
        <f t="shared" si="16"/>
        <v>#VALUE!</v>
      </c>
      <c r="K64" s="305" t="e">
        <f t="shared" si="16"/>
        <v>#VALUE!</v>
      </c>
      <c r="L64" s="305" t="e">
        <f t="shared" si="16"/>
        <v>#VALUE!</v>
      </c>
      <c r="M64" s="309" t="e">
        <f t="shared" si="16"/>
        <v>#VALUE!</v>
      </c>
      <c r="N64" s="305" t="e">
        <f t="shared" si="16"/>
        <v>#VALUE!</v>
      </c>
      <c r="O64" s="305" t="e">
        <f t="shared" si="16"/>
        <v>#VALUE!</v>
      </c>
      <c r="P64" s="305" t="e">
        <f t="shared" si="16"/>
        <v>#VALUE!</v>
      </c>
      <c r="Q64" s="305" t="e">
        <f t="shared" si="16"/>
        <v>#VALUE!</v>
      </c>
      <c r="R64" s="305" t="e">
        <f t="shared" si="16"/>
        <v>#VALUE!</v>
      </c>
      <c r="S64" s="305" t="e">
        <f t="shared" si="16"/>
        <v>#VALUE!</v>
      </c>
      <c r="T64" s="308" t="e">
        <f>T$44/13</f>
        <v>#VALUE!</v>
      </c>
      <c r="U64" s="320"/>
      <c r="V64" s="305"/>
      <c r="W64" s="305"/>
      <c r="X64" s="305"/>
      <c r="Y64" s="305"/>
      <c r="Z64" s="305"/>
      <c r="AA64" s="305"/>
      <c r="AB64" s="305"/>
      <c r="AC64" s="305"/>
      <c r="AD64" s="305"/>
      <c r="AE64" s="305"/>
      <c r="AF64" s="305"/>
      <c r="AG64" s="305"/>
      <c r="AH64" s="306" t="e">
        <f t="shared" si="14"/>
        <v>#VALUE!</v>
      </c>
    </row>
    <row r="65" spans="1:34">
      <c r="C65" s="307">
        <f t="shared" si="15"/>
        <v>19</v>
      </c>
      <c r="D65" s="305" t="e">
        <f t="shared" si="16"/>
        <v>#VALUE!</v>
      </c>
      <c r="E65" s="305" t="e">
        <f t="shared" si="16"/>
        <v>#VALUE!</v>
      </c>
      <c r="F65" s="305" t="e">
        <f t="shared" si="16"/>
        <v>#VALUE!</v>
      </c>
      <c r="G65" s="305" t="e">
        <f t="shared" si="16"/>
        <v>#VALUE!</v>
      </c>
      <c r="H65" s="305" t="e">
        <f t="shared" si="16"/>
        <v>#VALUE!</v>
      </c>
      <c r="I65" s="305" t="e">
        <f t="shared" si="16"/>
        <v>#VALUE!</v>
      </c>
      <c r="J65" s="305" t="e">
        <f t="shared" si="16"/>
        <v>#VALUE!</v>
      </c>
      <c r="K65" s="305" t="e">
        <f t="shared" si="16"/>
        <v>#VALUE!</v>
      </c>
      <c r="L65" s="305" t="e">
        <f t="shared" si="16"/>
        <v>#VALUE!</v>
      </c>
      <c r="M65" s="309" t="e">
        <f t="shared" si="16"/>
        <v>#VALUE!</v>
      </c>
      <c r="N65" s="305" t="e">
        <f t="shared" si="16"/>
        <v>#VALUE!</v>
      </c>
      <c r="O65" s="305" t="e">
        <f t="shared" si="16"/>
        <v>#VALUE!</v>
      </c>
      <c r="P65" s="305" t="e">
        <f t="shared" si="16"/>
        <v>#VALUE!</v>
      </c>
      <c r="Q65" s="305" t="e">
        <f t="shared" si="16"/>
        <v>#VALUE!</v>
      </c>
      <c r="R65" s="305" t="e">
        <f t="shared" si="16"/>
        <v>#VALUE!</v>
      </c>
      <c r="S65" s="305" t="e">
        <f t="shared" si="16"/>
        <v>#VALUE!</v>
      </c>
      <c r="T65" s="305" t="e">
        <f t="shared" ref="L65:AA76" si="17">T64</f>
        <v>#VALUE!</v>
      </c>
      <c r="U65" s="308" t="e">
        <f>U$44/12</f>
        <v>#VALUE!</v>
      </c>
      <c r="V65" s="320"/>
      <c r="W65" s="305"/>
      <c r="X65" s="305"/>
      <c r="Y65" s="305"/>
      <c r="Z65" s="305"/>
      <c r="AA65" s="305"/>
      <c r="AB65" s="305"/>
      <c r="AC65" s="305"/>
      <c r="AD65" s="305"/>
      <c r="AE65" s="305"/>
      <c r="AF65" s="305"/>
      <c r="AG65" s="305"/>
      <c r="AH65" s="306" t="e">
        <f t="shared" si="14"/>
        <v>#VALUE!</v>
      </c>
    </row>
    <row r="66" spans="1:34">
      <c r="C66" s="307">
        <f t="shared" si="15"/>
        <v>20</v>
      </c>
      <c r="D66" s="305" t="e">
        <f t="shared" ref="D66:K76" si="18">D65</f>
        <v>#VALUE!</v>
      </c>
      <c r="E66" s="305" t="e">
        <f t="shared" si="18"/>
        <v>#VALUE!</v>
      </c>
      <c r="F66" s="305" t="e">
        <f t="shared" si="18"/>
        <v>#VALUE!</v>
      </c>
      <c r="G66" s="305" t="e">
        <f t="shared" si="18"/>
        <v>#VALUE!</v>
      </c>
      <c r="H66" s="305" t="e">
        <f t="shared" si="18"/>
        <v>#VALUE!</v>
      </c>
      <c r="I66" s="305" t="e">
        <f t="shared" si="18"/>
        <v>#VALUE!</v>
      </c>
      <c r="J66" s="305" t="e">
        <f t="shared" si="18"/>
        <v>#VALUE!</v>
      </c>
      <c r="K66" s="305" t="e">
        <f t="shared" si="18"/>
        <v>#VALUE!</v>
      </c>
      <c r="L66" s="305" t="e">
        <f t="shared" si="17"/>
        <v>#VALUE!</v>
      </c>
      <c r="M66" s="309" t="e">
        <f t="shared" si="17"/>
        <v>#VALUE!</v>
      </c>
      <c r="N66" s="305" t="e">
        <f t="shared" si="17"/>
        <v>#VALUE!</v>
      </c>
      <c r="O66" s="305" t="e">
        <f t="shared" si="17"/>
        <v>#VALUE!</v>
      </c>
      <c r="P66" s="305" t="e">
        <f t="shared" si="17"/>
        <v>#VALUE!</v>
      </c>
      <c r="Q66" s="305" t="e">
        <f t="shared" si="17"/>
        <v>#VALUE!</v>
      </c>
      <c r="R66" s="305" t="e">
        <f t="shared" si="17"/>
        <v>#VALUE!</v>
      </c>
      <c r="S66" s="305" t="e">
        <f t="shared" si="17"/>
        <v>#VALUE!</v>
      </c>
      <c r="T66" s="305" t="e">
        <f t="shared" si="17"/>
        <v>#VALUE!</v>
      </c>
      <c r="U66" s="305" t="e">
        <f t="shared" si="17"/>
        <v>#VALUE!</v>
      </c>
      <c r="V66" s="308" t="e">
        <f>V$44/11</f>
        <v>#VALUE!</v>
      </c>
      <c r="W66" s="320"/>
      <c r="X66" s="305"/>
      <c r="Y66" s="305"/>
      <c r="Z66" s="305"/>
      <c r="AA66" s="305"/>
      <c r="AB66" s="305"/>
      <c r="AC66" s="305"/>
      <c r="AD66" s="305"/>
      <c r="AE66" s="305"/>
      <c r="AF66" s="305"/>
      <c r="AG66" s="305"/>
      <c r="AH66" s="306" t="e">
        <f t="shared" si="14"/>
        <v>#VALUE!</v>
      </c>
    </row>
    <row r="67" spans="1:34">
      <c r="C67" s="307">
        <f t="shared" si="15"/>
        <v>21</v>
      </c>
      <c r="D67" s="305" t="e">
        <f t="shared" si="18"/>
        <v>#VALUE!</v>
      </c>
      <c r="E67" s="305" t="e">
        <f t="shared" si="18"/>
        <v>#VALUE!</v>
      </c>
      <c r="F67" s="305" t="e">
        <f t="shared" si="18"/>
        <v>#VALUE!</v>
      </c>
      <c r="G67" s="305" t="e">
        <f t="shared" si="18"/>
        <v>#VALUE!</v>
      </c>
      <c r="H67" s="305" t="e">
        <f t="shared" si="18"/>
        <v>#VALUE!</v>
      </c>
      <c r="I67" s="305" t="e">
        <f t="shared" si="18"/>
        <v>#VALUE!</v>
      </c>
      <c r="J67" s="305" t="e">
        <f t="shared" si="18"/>
        <v>#VALUE!</v>
      </c>
      <c r="K67" s="305" t="e">
        <f t="shared" si="18"/>
        <v>#VALUE!</v>
      </c>
      <c r="L67" s="305" t="e">
        <f t="shared" si="17"/>
        <v>#VALUE!</v>
      </c>
      <c r="M67" s="309" t="e">
        <f t="shared" si="17"/>
        <v>#VALUE!</v>
      </c>
      <c r="N67" s="305" t="e">
        <f t="shared" si="17"/>
        <v>#VALUE!</v>
      </c>
      <c r="O67" s="305" t="e">
        <f t="shared" si="17"/>
        <v>#VALUE!</v>
      </c>
      <c r="P67" s="305" t="e">
        <f t="shared" si="17"/>
        <v>#VALUE!</v>
      </c>
      <c r="Q67" s="305" t="e">
        <f t="shared" si="17"/>
        <v>#VALUE!</v>
      </c>
      <c r="R67" s="305" t="e">
        <f t="shared" si="17"/>
        <v>#VALUE!</v>
      </c>
      <c r="S67" s="305" t="e">
        <f t="shared" si="17"/>
        <v>#VALUE!</v>
      </c>
      <c r="T67" s="305" t="e">
        <f t="shared" si="17"/>
        <v>#VALUE!</v>
      </c>
      <c r="U67" s="305" t="e">
        <f t="shared" si="17"/>
        <v>#VALUE!</v>
      </c>
      <c r="V67" s="305" t="e">
        <f t="shared" si="17"/>
        <v>#VALUE!</v>
      </c>
      <c r="W67" s="308" t="e">
        <f>W$44/10</f>
        <v>#VALUE!</v>
      </c>
      <c r="X67" s="320"/>
      <c r="Y67" s="305"/>
      <c r="Z67" s="305"/>
      <c r="AA67" s="305"/>
      <c r="AB67" s="305"/>
      <c r="AC67" s="305"/>
      <c r="AD67" s="305"/>
      <c r="AE67" s="305"/>
      <c r="AF67" s="305"/>
      <c r="AG67" s="305"/>
      <c r="AH67" s="306" t="e">
        <f t="shared" si="14"/>
        <v>#VALUE!</v>
      </c>
    </row>
    <row r="68" spans="1:34">
      <c r="C68" s="307">
        <f t="shared" si="15"/>
        <v>22</v>
      </c>
      <c r="D68" s="305" t="e">
        <f t="shared" si="18"/>
        <v>#VALUE!</v>
      </c>
      <c r="E68" s="305" t="e">
        <f t="shared" si="18"/>
        <v>#VALUE!</v>
      </c>
      <c r="F68" s="305" t="e">
        <f t="shared" si="18"/>
        <v>#VALUE!</v>
      </c>
      <c r="G68" s="305" t="e">
        <f t="shared" si="18"/>
        <v>#VALUE!</v>
      </c>
      <c r="H68" s="305" t="e">
        <f t="shared" si="18"/>
        <v>#VALUE!</v>
      </c>
      <c r="I68" s="305" t="e">
        <f t="shared" si="18"/>
        <v>#VALUE!</v>
      </c>
      <c r="J68" s="305" t="e">
        <f t="shared" si="18"/>
        <v>#VALUE!</v>
      </c>
      <c r="K68" s="305" t="e">
        <f t="shared" si="18"/>
        <v>#VALUE!</v>
      </c>
      <c r="L68" s="305" t="e">
        <f t="shared" si="17"/>
        <v>#VALUE!</v>
      </c>
      <c r="M68" s="309" t="e">
        <f t="shared" si="17"/>
        <v>#VALUE!</v>
      </c>
      <c r="N68" s="305" t="e">
        <f t="shared" si="17"/>
        <v>#VALUE!</v>
      </c>
      <c r="O68" s="305" t="e">
        <f t="shared" si="17"/>
        <v>#VALUE!</v>
      </c>
      <c r="P68" s="305" t="e">
        <f t="shared" si="17"/>
        <v>#VALUE!</v>
      </c>
      <c r="Q68" s="305" t="e">
        <f t="shared" si="17"/>
        <v>#VALUE!</v>
      </c>
      <c r="R68" s="305" t="e">
        <f t="shared" si="17"/>
        <v>#VALUE!</v>
      </c>
      <c r="S68" s="305" t="e">
        <f t="shared" si="17"/>
        <v>#VALUE!</v>
      </c>
      <c r="T68" s="305" t="e">
        <f t="shared" si="17"/>
        <v>#VALUE!</v>
      </c>
      <c r="U68" s="305" t="e">
        <f t="shared" si="17"/>
        <v>#VALUE!</v>
      </c>
      <c r="V68" s="305" t="e">
        <f t="shared" si="17"/>
        <v>#VALUE!</v>
      </c>
      <c r="W68" s="305" t="e">
        <f t="shared" si="17"/>
        <v>#VALUE!</v>
      </c>
      <c r="X68" s="308" t="e">
        <f>X$44/9</f>
        <v>#VALUE!</v>
      </c>
      <c r="Y68" s="320"/>
      <c r="Z68" s="305"/>
      <c r="AA68" s="305"/>
      <c r="AB68" s="305"/>
      <c r="AC68" s="305"/>
      <c r="AD68" s="305"/>
      <c r="AE68" s="305"/>
      <c r="AF68" s="305"/>
      <c r="AG68" s="305"/>
      <c r="AH68" s="310" t="e">
        <f t="shared" si="14"/>
        <v>#VALUE!</v>
      </c>
    </row>
    <row r="69" spans="1:34">
      <c r="C69" s="307">
        <f t="shared" si="15"/>
        <v>23</v>
      </c>
      <c r="D69" s="305" t="e">
        <f t="shared" si="18"/>
        <v>#VALUE!</v>
      </c>
      <c r="E69" s="305" t="e">
        <f t="shared" si="18"/>
        <v>#VALUE!</v>
      </c>
      <c r="F69" s="305" t="e">
        <f t="shared" si="18"/>
        <v>#VALUE!</v>
      </c>
      <c r="G69" s="305" t="e">
        <f t="shared" si="18"/>
        <v>#VALUE!</v>
      </c>
      <c r="H69" s="305" t="e">
        <f t="shared" si="18"/>
        <v>#VALUE!</v>
      </c>
      <c r="I69" s="305" t="e">
        <f t="shared" si="18"/>
        <v>#VALUE!</v>
      </c>
      <c r="J69" s="305" t="e">
        <f t="shared" si="18"/>
        <v>#VALUE!</v>
      </c>
      <c r="K69" s="305" t="e">
        <f t="shared" si="18"/>
        <v>#VALUE!</v>
      </c>
      <c r="L69" s="305" t="e">
        <f t="shared" si="17"/>
        <v>#VALUE!</v>
      </c>
      <c r="M69" s="309" t="e">
        <f t="shared" si="17"/>
        <v>#VALUE!</v>
      </c>
      <c r="N69" s="305" t="e">
        <f t="shared" si="17"/>
        <v>#VALUE!</v>
      </c>
      <c r="O69" s="305" t="e">
        <f t="shared" si="17"/>
        <v>#VALUE!</v>
      </c>
      <c r="P69" s="305" t="e">
        <f t="shared" si="17"/>
        <v>#VALUE!</v>
      </c>
      <c r="Q69" s="305" t="e">
        <f t="shared" si="17"/>
        <v>#VALUE!</v>
      </c>
      <c r="R69" s="305" t="e">
        <f t="shared" si="17"/>
        <v>#VALUE!</v>
      </c>
      <c r="S69" s="305" t="e">
        <f t="shared" si="17"/>
        <v>#VALUE!</v>
      </c>
      <c r="T69" s="305" t="e">
        <f t="shared" si="17"/>
        <v>#VALUE!</v>
      </c>
      <c r="U69" s="305" t="e">
        <f t="shared" si="17"/>
        <v>#VALUE!</v>
      </c>
      <c r="V69" s="305" t="e">
        <f t="shared" si="17"/>
        <v>#VALUE!</v>
      </c>
      <c r="W69" s="305" t="e">
        <f t="shared" si="17"/>
        <v>#VALUE!</v>
      </c>
      <c r="X69" s="305" t="e">
        <f t="shared" si="17"/>
        <v>#VALUE!</v>
      </c>
      <c r="Y69" s="308" t="e">
        <f>Y$44/8</f>
        <v>#VALUE!</v>
      </c>
      <c r="Z69" s="320"/>
      <c r="AA69" s="305"/>
      <c r="AB69" s="305"/>
      <c r="AC69" s="305"/>
      <c r="AD69" s="305"/>
      <c r="AE69" s="305"/>
      <c r="AF69" s="305"/>
      <c r="AG69" s="305"/>
      <c r="AH69" s="310" t="e">
        <f t="shared" si="14"/>
        <v>#VALUE!</v>
      </c>
    </row>
    <row r="70" spans="1:34">
      <c r="C70" s="307">
        <f t="shared" si="15"/>
        <v>24</v>
      </c>
      <c r="D70" s="305" t="e">
        <f t="shared" si="18"/>
        <v>#VALUE!</v>
      </c>
      <c r="E70" s="305" t="e">
        <f t="shared" si="18"/>
        <v>#VALUE!</v>
      </c>
      <c r="F70" s="305" t="e">
        <f t="shared" si="18"/>
        <v>#VALUE!</v>
      </c>
      <c r="G70" s="305" t="e">
        <f t="shared" si="18"/>
        <v>#VALUE!</v>
      </c>
      <c r="H70" s="305" t="e">
        <f t="shared" si="18"/>
        <v>#VALUE!</v>
      </c>
      <c r="I70" s="305" t="e">
        <f t="shared" si="18"/>
        <v>#VALUE!</v>
      </c>
      <c r="J70" s="305" t="e">
        <f t="shared" si="18"/>
        <v>#VALUE!</v>
      </c>
      <c r="K70" s="305" t="e">
        <f t="shared" si="18"/>
        <v>#VALUE!</v>
      </c>
      <c r="L70" s="305" t="e">
        <f t="shared" si="17"/>
        <v>#VALUE!</v>
      </c>
      <c r="M70" s="309" t="e">
        <f t="shared" si="17"/>
        <v>#VALUE!</v>
      </c>
      <c r="N70" s="305" t="e">
        <f t="shared" si="17"/>
        <v>#VALUE!</v>
      </c>
      <c r="O70" s="305" t="e">
        <f t="shared" si="17"/>
        <v>#VALUE!</v>
      </c>
      <c r="P70" s="305" t="e">
        <f t="shared" si="17"/>
        <v>#VALUE!</v>
      </c>
      <c r="Q70" s="305" t="e">
        <f t="shared" si="17"/>
        <v>#VALUE!</v>
      </c>
      <c r="R70" s="305" t="e">
        <f t="shared" si="17"/>
        <v>#VALUE!</v>
      </c>
      <c r="S70" s="305" t="e">
        <f t="shared" si="17"/>
        <v>#VALUE!</v>
      </c>
      <c r="T70" s="305" t="e">
        <f t="shared" si="17"/>
        <v>#VALUE!</v>
      </c>
      <c r="U70" s="305" t="e">
        <f t="shared" si="17"/>
        <v>#VALUE!</v>
      </c>
      <c r="V70" s="305" t="e">
        <f t="shared" si="17"/>
        <v>#VALUE!</v>
      </c>
      <c r="W70" s="305" t="e">
        <f t="shared" si="17"/>
        <v>#VALUE!</v>
      </c>
      <c r="X70" s="305" t="e">
        <f t="shared" si="17"/>
        <v>#VALUE!</v>
      </c>
      <c r="Y70" s="305" t="e">
        <f t="shared" si="17"/>
        <v>#VALUE!</v>
      </c>
      <c r="Z70" s="308" t="e">
        <f>Z$44/7</f>
        <v>#VALUE!</v>
      </c>
      <c r="AA70" s="320"/>
      <c r="AB70" s="305"/>
      <c r="AC70" s="305"/>
      <c r="AD70" s="305"/>
      <c r="AE70" s="305"/>
      <c r="AF70" s="305"/>
      <c r="AG70" s="305"/>
      <c r="AH70" s="310" t="e">
        <f t="shared" si="14"/>
        <v>#VALUE!</v>
      </c>
    </row>
    <row r="71" spans="1:34">
      <c r="C71" s="307">
        <f t="shared" si="15"/>
        <v>25</v>
      </c>
      <c r="D71" s="305" t="e">
        <f t="shared" si="18"/>
        <v>#VALUE!</v>
      </c>
      <c r="E71" s="305" t="e">
        <f t="shared" si="18"/>
        <v>#VALUE!</v>
      </c>
      <c r="F71" s="305" t="e">
        <f t="shared" si="18"/>
        <v>#VALUE!</v>
      </c>
      <c r="G71" s="305" t="e">
        <f t="shared" si="18"/>
        <v>#VALUE!</v>
      </c>
      <c r="H71" s="305" t="e">
        <f t="shared" si="18"/>
        <v>#VALUE!</v>
      </c>
      <c r="I71" s="305" t="e">
        <f t="shared" si="18"/>
        <v>#VALUE!</v>
      </c>
      <c r="J71" s="305" t="e">
        <f t="shared" si="18"/>
        <v>#VALUE!</v>
      </c>
      <c r="K71" s="305" t="e">
        <f t="shared" si="18"/>
        <v>#VALUE!</v>
      </c>
      <c r="L71" s="305" t="e">
        <f t="shared" si="17"/>
        <v>#VALUE!</v>
      </c>
      <c r="M71" s="309" t="e">
        <f t="shared" si="17"/>
        <v>#VALUE!</v>
      </c>
      <c r="N71" s="305" t="e">
        <f t="shared" si="17"/>
        <v>#VALUE!</v>
      </c>
      <c r="O71" s="305" t="e">
        <f t="shared" si="17"/>
        <v>#VALUE!</v>
      </c>
      <c r="P71" s="305" t="e">
        <f t="shared" si="17"/>
        <v>#VALUE!</v>
      </c>
      <c r="Q71" s="305" t="e">
        <f t="shared" si="17"/>
        <v>#VALUE!</v>
      </c>
      <c r="R71" s="305" t="e">
        <f t="shared" si="17"/>
        <v>#VALUE!</v>
      </c>
      <c r="S71" s="305" t="e">
        <f t="shared" si="17"/>
        <v>#VALUE!</v>
      </c>
      <c r="T71" s="305" t="e">
        <f t="shared" si="17"/>
        <v>#VALUE!</v>
      </c>
      <c r="U71" s="305" t="e">
        <f t="shared" si="17"/>
        <v>#VALUE!</v>
      </c>
      <c r="V71" s="305" t="e">
        <f t="shared" si="17"/>
        <v>#VALUE!</v>
      </c>
      <c r="W71" s="305" t="e">
        <f t="shared" si="17"/>
        <v>#VALUE!</v>
      </c>
      <c r="X71" s="305" t="e">
        <f t="shared" si="17"/>
        <v>#VALUE!</v>
      </c>
      <c r="Y71" s="305" t="e">
        <f t="shared" si="17"/>
        <v>#VALUE!</v>
      </c>
      <c r="Z71" s="305" t="e">
        <f t="shared" si="17"/>
        <v>#VALUE!</v>
      </c>
      <c r="AA71" s="308" t="e">
        <f>AA$44/6</f>
        <v>#VALUE!</v>
      </c>
      <c r="AB71" s="320"/>
      <c r="AC71" s="305"/>
      <c r="AD71" s="305"/>
      <c r="AE71" s="305"/>
      <c r="AF71" s="305"/>
      <c r="AG71" s="305"/>
      <c r="AH71" s="310" t="e">
        <f t="shared" si="14"/>
        <v>#VALUE!</v>
      </c>
    </row>
    <row r="72" spans="1:34">
      <c r="C72" s="307">
        <f t="shared" si="15"/>
        <v>26</v>
      </c>
      <c r="D72" s="305" t="e">
        <f t="shared" si="18"/>
        <v>#VALUE!</v>
      </c>
      <c r="E72" s="305" t="e">
        <f t="shared" si="18"/>
        <v>#VALUE!</v>
      </c>
      <c r="F72" s="305" t="e">
        <f t="shared" si="18"/>
        <v>#VALUE!</v>
      </c>
      <c r="G72" s="305" t="e">
        <f t="shared" si="18"/>
        <v>#VALUE!</v>
      </c>
      <c r="H72" s="305" t="e">
        <f t="shared" si="18"/>
        <v>#VALUE!</v>
      </c>
      <c r="I72" s="305" t="e">
        <f t="shared" si="18"/>
        <v>#VALUE!</v>
      </c>
      <c r="J72" s="305" t="e">
        <f t="shared" si="18"/>
        <v>#VALUE!</v>
      </c>
      <c r="K72" s="305" t="e">
        <f t="shared" si="18"/>
        <v>#VALUE!</v>
      </c>
      <c r="L72" s="305" t="e">
        <f t="shared" si="17"/>
        <v>#VALUE!</v>
      </c>
      <c r="M72" s="309" t="e">
        <f t="shared" si="17"/>
        <v>#VALUE!</v>
      </c>
      <c r="N72" s="305" t="e">
        <f t="shared" si="17"/>
        <v>#VALUE!</v>
      </c>
      <c r="O72" s="305" t="e">
        <f t="shared" si="17"/>
        <v>#VALUE!</v>
      </c>
      <c r="P72" s="305" t="e">
        <f t="shared" si="17"/>
        <v>#VALUE!</v>
      </c>
      <c r="Q72" s="305" t="e">
        <f t="shared" si="17"/>
        <v>#VALUE!</v>
      </c>
      <c r="R72" s="305" t="e">
        <f t="shared" si="17"/>
        <v>#VALUE!</v>
      </c>
      <c r="S72" s="305" t="e">
        <f t="shared" si="17"/>
        <v>#VALUE!</v>
      </c>
      <c r="T72" s="305" t="e">
        <f t="shared" si="17"/>
        <v>#VALUE!</v>
      </c>
      <c r="U72" s="305" t="e">
        <f t="shared" si="17"/>
        <v>#VALUE!</v>
      </c>
      <c r="V72" s="305" t="e">
        <f t="shared" si="17"/>
        <v>#VALUE!</v>
      </c>
      <c r="W72" s="305" t="e">
        <f t="shared" si="17"/>
        <v>#VALUE!</v>
      </c>
      <c r="X72" s="305" t="e">
        <f t="shared" si="17"/>
        <v>#VALUE!</v>
      </c>
      <c r="Y72" s="305" t="e">
        <f t="shared" si="17"/>
        <v>#VALUE!</v>
      </c>
      <c r="Z72" s="305" t="e">
        <f t="shared" si="17"/>
        <v>#VALUE!</v>
      </c>
      <c r="AA72" s="305" t="e">
        <f t="shared" si="17"/>
        <v>#VALUE!</v>
      </c>
      <c r="AB72" s="308" t="e">
        <f>AB$44/5</f>
        <v>#VALUE!</v>
      </c>
      <c r="AC72" s="320"/>
      <c r="AD72" s="305"/>
      <c r="AE72" s="305"/>
      <c r="AF72" s="305"/>
      <c r="AG72" s="305"/>
      <c r="AH72" s="310" t="e">
        <f t="shared" si="14"/>
        <v>#VALUE!</v>
      </c>
    </row>
    <row r="73" spans="1:34">
      <c r="C73" s="307">
        <f t="shared" si="15"/>
        <v>27</v>
      </c>
      <c r="D73" s="305"/>
      <c r="E73" s="305" t="e">
        <f t="shared" si="18"/>
        <v>#VALUE!</v>
      </c>
      <c r="F73" s="305" t="e">
        <f t="shared" si="18"/>
        <v>#VALUE!</v>
      </c>
      <c r="G73" s="305" t="e">
        <f t="shared" si="18"/>
        <v>#VALUE!</v>
      </c>
      <c r="H73" s="305" t="e">
        <f t="shared" si="18"/>
        <v>#VALUE!</v>
      </c>
      <c r="I73" s="305" t="e">
        <f t="shared" si="18"/>
        <v>#VALUE!</v>
      </c>
      <c r="J73" s="305" t="e">
        <f t="shared" si="18"/>
        <v>#VALUE!</v>
      </c>
      <c r="K73" s="305" t="e">
        <f t="shared" si="18"/>
        <v>#VALUE!</v>
      </c>
      <c r="L73" s="305" t="e">
        <f t="shared" si="17"/>
        <v>#VALUE!</v>
      </c>
      <c r="M73" s="309" t="e">
        <f t="shared" si="17"/>
        <v>#VALUE!</v>
      </c>
      <c r="N73" s="305" t="e">
        <f t="shared" si="17"/>
        <v>#VALUE!</v>
      </c>
      <c r="O73" s="305" t="e">
        <f t="shared" si="17"/>
        <v>#VALUE!</v>
      </c>
      <c r="P73" s="305" t="e">
        <f t="shared" si="17"/>
        <v>#VALUE!</v>
      </c>
      <c r="Q73" s="305" t="e">
        <f t="shared" si="17"/>
        <v>#VALUE!</v>
      </c>
      <c r="R73" s="305" t="e">
        <f t="shared" si="17"/>
        <v>#VALUE!</v>
      </c>
      <c r="S73" s="305" t="e">
        <f t="shared" si="17"/>
        <v>#VALUE!</v>
      </c>
      <c r="T73" s="305" t="e">
        <f t="shared" si="17"/>
        <v>#VALUE!</v>
      </c>
      <c r="U73" s="305" t="e">
        <f t="shared" si="17"/>
        <v>#VALUE!</v>
      </c>
      <c r="V73" s="305" t="e">
        <f t="shared" si="17"/>
        <v>#VALUE!</v>
      </c>
      <c r="W73" s="305" t="e">
        <f t="shared" si="17"/>
        <v>#VALUE!</v>
      </c>
      <c r="X73" s="305" t="e">
        <f t="shared" si="17"/>
        <v>#VALUE!</v>
      </c>
      <c r="Y73" s="305" t="e">
        <f t="shared" si="17"/>
        <v>#VALUE!</v>
      </c>
      <c r="Z73" s="305" t="e">
        <f t="shared" si="17"/>
        <v>#VALUE!</v>
      </c>
      <c r="AA73" s="305" t="e">
        <f t="shared" si="17"/>
        <v>#VALUE!</v>
      </c>
      <c r="AB73" s="305" t="e">
        <f>AB72</f>
        <v>#VALUE!</v>
      </c>
      <c r="AC73" s="308" t="e">
        <f>AC$44/4</f>
        <v>#VALUE!</v>
      </c>
      <c r="AD73" s="320"/>
      <c r="AE73" s="305"/>
      <c r="AF73" s="305"/>
      <c r="AG73" s="305"/>
      <c r="AH73" s="310" t="e">
        <f t="shared" si="14"/>
        <v>#VALUE!</v>
      </c>
    </row>
    <row r="74" spans="1:34">
      <c r="C74" s="307">
        <f t="shared" si="15"/>
        <v>28</v>
      </c>
      <c r="D74" s="305"/>
      <c r="E74" s="305"/>
      <c r="F74" s="305" t="e">
        <f t="shared" si="18"/>
        <v>#VALUE!</v>
      </c>
      <c r="G74" s="305" t="e">
        <f t="shared" si="18"/>
        <v>#VALUE!</v>
      </c>
      <c r="H74" s="305" t="e">
        <f t="shared" si="18"/>
        <v>#VALUE!</v>
      </c>
      <c r="I74" s="305" t="e">
        <f t="shared" si="18"/>
        <v>#VALUE!</v>
      </c>
      <c r="J74" s="305" t="e">
        <f t="shared" si="18"/>
        <v>#VALUE!</v>
      </c>
      <c r="K74" s="305" t="e">
        <f t="shared" si="18"/>
        <v>#VALUE!</v>
      </c>
      <c r="L74" s="305" t="e">
        <f t="shared" si="17"/>
        <v>#VALUE!</v>
      </c>
      <c r="M74" s="309" t="e">
        <f t="shared" si="17"/>
        <v>#VALUE!</v>
      </c>
      <c r="N74" s="305" t="e">
        <f t="shared" si="17"/>
        <v>#VALUE!</v>
      </c>
      <c r="O74" s="305" t="e">
        <f t="shared" si="17"/>
        <v>#VALUE!</v>
      </c>
      <c r="P74" s="305" t="e">
        <f t="shared" si="17"/>
        <v>#VALUE!</v>
      </c>
      <c r="Q74" s="305" t="e">
        <f t="shared" si="17"/>
        <v>#VALUE!</v>
      </c>
      <c r="R74" s="305" t="e">
        <f t="shared" si="17"/>
        <v>#VALUE!</v>
      </c>
      <c r="S74" s="305" t="e">
        <f t="shared" si="17"/>
        <v>#VALUE!</v>
      </c>
      <c r="T74" s="305" t="e">
        <f t="shared" si="17"/>
        <v>#VALUE!</v>
      </c>
      <c r="U74" s="305" t="e">
        <f t="shared" si="17"/>
        <v>#VALUE!</v>
      </c>
      <c r="V74" s="305" t="e">
        <f t="shared" si="17"/>
        <v>#VALUE!</v>
      </c>
      <c r="W74" s="305" t="e">
        <f t="shared" si="17"/>
        <v>#VALUE!</v>
      </c>
      <c r="X74" s="305" t="e">
        <f t="shared" si="17"/>
        <v>#VALUE!</v>
      </c>
      <c r="Y74" s="305" t="e">
        <f t="shared" si="17"/>
        <v>#VALUE!</v>
      </c>
      <c r="Z74" s="305" t="e">
        <f t="shared" si="17"/>
        <v>#VALUE!</v>
      </c>
      <c r="AA74" s="305" t="e">
        <f t="shared" si="17"/>
        <v>#VALUE!</v>
      </c>
      <c r="AB74" s="305" t="e">
        <f>AB73</f>
        <v>#VALUE!</v>
      </c>
      <c r="AC74" s="305" t="e">
        <f>AC73</f>
        <v>#VALUE!</v>
      </c>
      <c r="AD74" s="308" t="e">
        <f>AD$44/3</f>
        <v>#VALUE!</v>
      </c>
      <c r="AE74" s="320"/>
      <c r="AF74" s="305"/>
      <c r="AG74" s="305"/>
      <c r="AH74" s="310" t="e">
        <f t="shared" si="14"/>
        <v>#VALUE!</v>
      </c>
    </row>
    <row r="75" spans="1:34">
      <c r="C75" s="307">
        <f t="shared" si="15"/>
        <v>29</v>
      </c>
      <c r="D75" s="305"/>
      <c r="E75" s="305"/>
      <c r="F75" s="305"/>
      <c r="G75" s="305" t="e">
        <f t="shared" si="18"/>
        <v>#VALUE!</v>
      </c>
      <c r="H75" s="305" t="e">
        <f t="shared" si="18"/>
        <v>#VALUE!</v>
      </c>
      <c r="I75" s="305" t="e">
        <f t="shared" si="18"/>
        <v>#VALUE!</v>
      </c>
      <c r="J75" s="305" t="e">
        <f t="shared" si="18"/>
        <v>#VALUE!</v>
      </c>
      <c r="K75" s="305" t="e">
        <f t="shared" si="18"/>
        <v>#VALUE!</v>
      </c>
      <c r="L75" s="305" t="e">
        <f t="shared" si="17"/>
        <v>#VALUE!</v>
      </c>
      <c r="M75" s="309" t="e">
        <f t="shared" si="17"/>
        <v>#VALUE!</v>
      </c>
      <c r="N75" s="305" t="e">
        <f t="shared" si="17"/>
        <v>#VALUE!</v>
      </c>
      <c r="O75" s="305" t="e">
        <f t="shared" si="17"/>
        <v>#VALUE!</v>
      </c>
      <c r="P75" s="305" t="e">
        <f t="shared" si="17"/>
        <v>#VALUE!</v>
      </c>
      <c r="Q75" s="305" t="e">
        <f t="shared" si="17"/>
        <v>#VALUE!</v>
      </c>
      <c r="R75" s="305" t="e">
        <f t="shared" si="17"/>
        <v>#VALUE!</v>
      </c>
      <c r="S75" s="305" t="e">
        <f t="shared" si="17"/>
        <v>#VALUE!</v>
      </c>
      <c r="T75" s="305" t="e">
        <f t="shared" si="17"/>
        <v>#VALUE!</v>
      </c>
      <c r="U75" s="305" t="e">
        <f t="shared" si="17"/>
        <v>#VALUE!</v>
      </c>
      <c r="V75" s="305" t="e">
        <f t="shared" si="17"/>
        <v>#VALUE!</v>
      </c>
      <c r="W75" s="305" t="e">
        <f t="shared" si="17"/>
        <v>#VALUE!</v>
      </c>
      <c r="X75" s="305" t="e">
        <f t="shared" si="17"/>
        <v>#VALUE!</v>
      </c>
      <c r="Y75" s="305" t="e">
        <f t="shared" si="17"/>
        <v>#VALUE!</v>
      </c>
      <c r="Z75" s="305" t="e">
        <f t="shared" si="17"/>
        <v>#VALUE!</v>
      </c>
      <c r="AA75" s="305" t="e">
        <f t="shared" si="17"/>
        <v>#VALUE!</v>
      </c>
      <c r="AB75" s="305" t="e">
        <f>AB74</f>
        <v>#VALUE!</v>
      </c>
      <c r="AC75" s="305" t="e">
        <f>AC74</f>
        <v>#VALUE!</v>
      </c>
      <c r="AD75" s="305" t="e">
        <f>AD74</f>
        <v>#VALUE!</v>
      </c>
      <c r="AE75" s="308" t="e">
        <f>AE$44/2</f>
        <v>#VALUE!</v>
      </c>
      <c r="AF75" s="320"/>
      <c r="AG75" s="305"/>
      <c r="AH75" s="310" t="e">
        <f t="shared" si="14"/>
        <v>#VALUE!</v>
      </c>
    </row>
    <row r="76" spans="1:34" ht="13.5" thickBot="1">
      <c r="C76" s="307">
        <f t="shared" si="15"/>
        <v>30</v>
      </c>
      <c r="D76" s="305"/>
      <c r="E76" s="305"/>
      <c r="F76" s="305"/>
      <c r="G76" s="305"/>
      <c r="H76" s="305" t="e">
        <f t="shared" si="18"/>
        <v>#VALUE!</v>
      </c>
      <c r="I76" s="305" t="e">
        <f t="shared" si="18"/>
        <v>#VALUE!</v>
      </c>
      <c r="J76" s="305" t="e">
        <f t="shared" si="18"/>
        <v>#VALUE!</v>
      </c>
      <c r="K76" s="305" t="e">
        <f t="shared" si="18"/>
        <v>#VALUE!</v>
      </c>
      <c r="L76" s="305" t="e">
        <f t="shared" si="17"/>
        <v>#VALUE!</v>
      </c>
      <c r="M76" s="322" t="e">
        <f t="shared" si="17"/>
        <v>#VALUE!</v>
      </c>
      <c r="N76" s="305" t="e">
        <f t="shared" si="17"/>
        <v>#VALUE!</v>
      </c>
      <c r="O76" s="305" t="e">
        <f t="shared" si="17"/>
        <v>#VALUE!</v>
      </c>
      <c r="P76" s="305" t="e">
        <f t="shared" si="17"/>
        <v>#VALUE!</v>
      </c>
      <c r="Q76" s="305" t="e">
        <f t="shared" si="17"/>
        <v>#VALUE!</v>
      </c>
      <c r="R76" s="305" t="e">
        <f t="shared" si="17"/>
        <v>#VALUE!</v>
      </c>
      <c r="S76" s="305" t="e">
        <f t="shared" si="17"/>
        <v>#VALUE!</v>
      </c>
      <c r="T76" s="305" t="e">
        <f t="shared" si="17"/>
        <v>#VALUE!</v>
      </c>
      <c r="U76" s="305" t="e">
        <f t="shared" si="17"/>
        <v>#VALUE!</v>
      </c>
      <c r="V76" s="305" t="e">
        <f t="shared" si="17"/>
        <v>#VALUE!</v>
      </c>
      <c r="W76" s="305" t="e">
        <f t="shared" si="17"/>
        <v>#VALUE!</v>
      </c>
      <c r="X76" s="305" t="e">
        <f t="shared" si="17"/>
        <v>#VALUE!</v>
      </c>
      <c r="Y76" s="305" t="e">
        <f t="shared" si="17"/>
        <v>#VALUE!</v>
      </c>
      <c r="Z76" s="305" t="e">
        <f t="shared" si="17"/>
        <v>#VALUE!</v>
      </c>
      <c r="AA76" s="305" t="e">
        <f t="shared" si="17"/>
        <v>#VALUE!</v>
      </c>
      <c r="AB76" s="305" t="e">
        <f>AB75</f>
        <v>#VALUE!</v>
      </c>
      <c r="AC76" s="305" t="e">
        <f>AC75</f>
        <v>#VALUE!</v>
      </c>
      <c r="AD76" s="305" t="e">
        <f>AD75</f>
        <v>#VALUE!</v>
      </c>
      <c r="AE76" s="305" t="e">
        <f>AE75</f>
        <v>#VALUE!</v>
      </c>
      <c r="AF76" s="308" t="e">
        <f>AF44</f>
        <v>#VALUE!</v>
      </c>
      <c r="AG76" s="308" t="e">
        <f>AG44</f>
        <v>#VALUE!</v>
      </c>
      <c r="AH76" s="310" t="e">
        <f t="shared" si="14"/>
        <v>#VALUE!</v>
      </c>
    </row>
    <row r="77" spans="1:34" ht="14.25" thickTop="1" thickBot="1">
      <c r="C77" s="311" t="s">
        <v>0</v>
      </c>
      <c r="D77" s="312" t="e">
        <f t="shared" ref="D77:I77" si="19">SUM(D47:D76)</f>
        <v>#VALUE!</v>
      </c>
      <c r="E77" s="312" t="e">
        <f t="shared" si="19"/>
        <v>#VALUE!</v>
      </c>
      <c r="F77" s="312" t="e">
        <f t="shared" si="19"/>
        <v>#VALUE!</v>
      </c>
      <c r="G77" s="312" t="e">
        <f t="shared" si="19"/>
        <v>#VALUE!</v>
      </c>
      <c r="H77" s="312" t="e">
        <f t="shared" si="19"/>
        <v>#VALUE!</v>
      </c>
      <c r="I77" s="312" t="e">
        <f t="shared" si="19"/>
        <v>#VALUE!</v>
      </c>
      <c r="J77" s="312" t="e">
        <f t="shared" ref="J77:AH77" si="20">SUM(J46:J76)</f>
        <v>#VALUE!</v>
      </c>
      <c r="K77" s="312" t="e">
        <f t="shared" si="20"/>
        <v>#VALUE!</v>
      </c>
      <c r="L77" s="323" t="e">
        <f t="shared" si="20"/>
        <v>#VALUE!</v>
      </c>
      <c r="M77" s="324" t="e">
        <f t="shared" si="20"/>
        <v>#VALUE!</v>
      </c>
      <c r="N77" s="312" t="e">
        <f t="shared" si="20"/>
        <v>#VALUE!</v>
      </c>
      <c r="O77" s="312" t="e">
        <f t="shared" si="20"/>
        <v>#VALUE!</v>
      </c>
      <c r="P77" s="312" t="e">
        <f t="shared" si="20"/>
        <v>#VALUE!</v>
      </c>
      <c r="Q77" s="312" t="e">
        <f t="shared" si="20"/>
        <v>#VALUE!</v>
      </c>
      <c r="R77" s="312" t="e">
        <f t="shared" si="20"/>
        <v>#VALUE!</v>
      </c>
      <c r="S77" s="312" t="e">
        <f t="shared" si="20"/>
        <v>#VALUE!</v>
      </c>
      <c r="T77" s="312" t="e">
        <f t="shared" si="20"/>
        <v>#VALUE!</v>
      </c>
      <c r="U77" s="312" t="e">
        <f t="shared" si="20"/>
        <v>#VALUE!</v>
      </c>
      <c r="V77" s="312" t="e">
        <f t="shared" si="20"/>
        <v>#VALUE!</v>
      </c>
      <c r="W77" s="312" t="e">
        <f t="shared" si="20"/>
        <v>#VALUE!</v>
      </c>
      <c r="X77" s="312" t="e">
        <f t="shared" si="20"/>
        <v>#VALUE!</v>
      </c>
      <c r="Y77" s="312" t="e">
        <f t="shared" si="20"/>
        <v>#VALUE!</v>
      </c>
      <c r="Z77" s="312" t="e">
        <f t="shared" si="20"/>
        <v>#VALUE!</v>
      </c>
      <c r="AA77" s="312" t="e">
        <f t="shared" si="20"/>
        <v>#VALUE!</v>
      </c>
      <c r="AB77" s="312" t="e">
        <f t="shared" si="20"/>
        <v>#VALUE!</v>
      </c>
      <c r="AC77" s="312" t="e">
        <f t="shared" si="20"/>
        <v>#VALUE!</v>
      </c>
      <c r="AD77" s="312" t="e">
        <f t="shared" si="20"/>
        <v>#VALUE!</v>
      </c>
      <c r="AE77" s="312" t="e">
        <f t="shared" si="20"/>
        <v>#VALUE!</v>
      </c>
      <c r="AF77" s="314" t="e">
        <f t="shared" si="20"/>
        <v>#VALUE!</v>
      </c>
      <c r="AG77" s="314" t="e">
        <f t="shared" si="20"/>
        <v>#VALUE!</v>
      </c>
      <c r="AH77" s="315" t="e">
        <f t="shared" si="20"/>
        <v>#VALUE!</v>
      </c>
    </row>
    <row r="79" spans="1:34" ht="13.5" thickBot="1"/>
    <row r="80" spans="1:34">
      <c r="A80" s="292">
        <v>0</v>
      </c>
      <c r="B80" s="13" t="e">
        <v>#VALUE!</v>
      </c>
      <c r="C80" s="293" t="s">
        <v>257</v>
      </c>
      <c r="D80" s="294"/>
      <c r="E80" s="295">
        <v>20</v>
      </c>
      <c r="F80" s="294"/>
      <c r="G80" s="294"/>
      <c r="H80" s="294"/>
      <c r="I80" s="294"/>
      <c r="J80" s="294"/>
      <c r="K80" s="294"/>
      <c r="L80" s="294"/>
      <c r="M80" s="294"/>
      <c r="N80" s="294"/>
      <c r="O80" s="294"/>
      <c r="P80" s="294"/>
      <c r="Q80" s="294"/>
      <c r="R80" s="294"/>
      <c r="S80" s="294"/>
      <c r="T80" s="294"/>
      <c r="U80" s="294"/>
      <c r="V80" s="294"/>
      <c r="W80" s="294"/>
      <c r="X80" s="294"/>
      <c r="Y80" s="294"/>
      <c r="Z80" s="294"/>
      <c r="AA80" s="294"/>
      <c r="AB80" s="294"/>
      <c r="AC80" s="294"/>
      <c r="AD80" s="294"/>
      <c r="AE80" s="294"/>
      <c r="AF80" s="294"/>
      <c r="AG80" s="294"/>
      <c r="AH80" s="296"/>
    </row>
    <row r="81" spans="1:34">
      <c r="A81" s="297">
        <v>0</v>
      </c>
      <c r="B81" s="15" t="e">
        <f>AH81</f>
        <v>#VALUE!</v>
      </c>
      <c r="C81" s="298" t="s">
        <v>256</v>
      </c>
      <c r="D81" s="299" t="e">
        <v>#VALUE!</v>
      </c>
      <c r="E81" s="299" t="e">
        <v>#VALUE!</v>
      </c>
      <c r="F81" s="299" t="e">
        <v>#VALUE!</v>
      </c>
      <c r="G81" s="299" t="e">
        <v>#VALUE!</v>
      </c>
      <c r="H81" s="299" t="e">
        <v>#VALUE!</v>
      </c>
      <c r="I81" s="299" t="e">
        <v>#VALUE!</v>
      </c>
      <c r="J81" s="299" t="e">
        <v>#VALUE!</v>
      </c>
      <c r="K81" s="299" t="e">
        <v>#VALUE!</v>
      </c>
      <c r="L81" s="299" t="e">
        <v>#VALUE!</v>
      </c>
      <c r="M81" s="299" t="e">
        <v>#VALUE!</v>
      </c>
      <c r="N81" s="299" t="e">
        <v>#VALUE!</v>
      </c>
      <c r="O81" s="299" t="e">
        <v>#VALUE!</v>
      </c>
      <c r="P81" s="299" t="e">
        <v>#VALUE!</v>
      </c>
      <c r="Q81" s="299" t="e">
        <v>#VALUE!</v>
      </c>
      <c r="R81" s="299" t="e">
        <v>#VALUE!</v>
      </c>
      <c r="S81" s="299" t="e">
        <v>#VALUE!</v>
      </c>
      <c r="T81" s="299" t="e">
        <v>#VALUE!</v>
      </c>
      <c r="U81" s="299" t="e">
        <v>#VALUE!</v>
      </c>
      <c r="V81" s="299" t="e">
        <v>#VALUE!</v>
      </c>
      <c r="W81" s="299" t="e">
        <v>#VALUE!</v>
      </c>
      <c r="X81" s="299" t="e">
        <v>#VALUE!</v>
      </c>
      <c r="Y81" s="299" t="e">
        <v>#VALUE!</v>
      </c>
      <c r="Z81" s="299" t="e">
        <v>#VALUE!</v>
      </c>
      <c r="AA81" s="299" t="e">
        <v>#VALUE!</v>
      </c>
      <c r="AB81" s="299" t="e">
        <v>#VALUE!</v>
      </c>
      <c r="AC81" s="299" t="e">
        <v>#VALUE!</v>
      </c>
      <c r="AD81" s="299" t="e">
        <v>#VALUE!</v>
      </c>
      <c r="AE81" s="299" t="e">
        <v>#VALUE!</v>
      </c>
      <c r="AF81" s="299" t="e">
        <v>#VALUE!</v>
      </c>
      <c r="AG81" s="299" t="e">
        <v>#VALUE!</v>
      </c>
      <c r="AH81" s="300" t="e">
        <f>SUM(D81:AG81)</f>
        <v>#VALUE!</v>
      </c>
    </row>
    <row r="82" spans="1:34">
      <c r="C82" s="301" t="s">
        <v>1</v>
      </c>
      <c r="D82" s="302">
        <v>1</v>
      </c>
      <c r="E82" s="316">
        <f t="shared" ref="E82:AG82" si="21">D82+1</f>
        <v>2</v>
      </c>
      <c r="F82" s="316">
        <f t="shared" si="21"/>
        <v>3</v>
      </c>
      <c r="G82" s="316">
        <f t="shared" si="21"/>
        <v>4</v>
      </c>
      <c r="H82" s="316">
        <f t="shared" si="21"/>
        <v>5</v>
      </c>
      <c r="I82" s="316">
        <f t="shared" si="21"/>
        <v>6</v>
      </c>
      <c r="J82" s="316">
        <f t="shared" si="21"/>
        <v>7</v>
      </c>
      <c r="K82" s="316">
        <f t="shared" si="21"/>
        <v>8</v>
      </c>
      <c r="L82" s="316">
        <f t="shared" si="21"/>
        <v>9</v>
      </c>
      <c r="M82" s="316">
        <f t="shared" si="21"/>
        <v>10</v>
      </c>
      <c r="N82" s="316">
        <f t="shared" si="21"/>
        <v>11</v>
      </c>
      <c r="O82" s="316">
        <f t="shared" si="21"/>
        <v>12</v>
      </c>
      <c r="P82" s="316">
        <f t="shared" si="21"/>
        <v>13</v>
      </c>
      <c r="Q82" s="316">
        <f t="shared" si="21"/>
        <v>14</v>
      </c>
      <c r="R82" s="316">
        <f t="shared" si="21"/>
        <v>15</v>
      </c>
      <c r="S82" s="316">
        <f t="shared" si="21"/>
        <v>16</v>
      </c>
      <c r="T82" s="316">
        <f t="shared" si="21"/>
        <v>17</v>
      </c>
      <c r="U82" s="316">
        <f t="shared" si="21"/>
        <v>18</v>
      </c>
      <c r="V82" s="316">
        <f t="shared" si="21"/>
        <v>19</v>
      </c>
      <c r="W82" s="316">
        <f t="shared" si="21"/>
        <v>20</v>
      </c>
      <c r="X82" s="316">
        <f t="shared" si="21"/>
        <v>21</v>
      </c>
      <c r="Y82" s="316">
        <f t="shared" si="21"/>
        <v>22</v>
      </c>
      <c r="Z82" s="316">
        <f t="shared" si="21"/>
        <v>23</v>
      </c>
      <c r="AA82" s="316">
        <f t="shared" si="21"/>
        <v>24</v>
      </c>
      <c r="AB82" s="316">
        <f t="shared" si="21"/>
        <v>25</v>
      </c>
      <c r="AC82" s="316">
        <f t="shared" si="21"/>
        <v>26</v>
      </c>
      <c r="AD82" s="316">
        <f t="shared" si="21"/>
        <v>27</v>
      </c>
      <c r="AE82" s="316">
        <f t="shared" si="21"/>
        <v>28</v>
      </c>
      <c r="AF82" s="316">
        <f t="shared" si="21"/>
        <v>29</v>
      </c>
      <c r="AG82" s="316">
        <f t="shared" si="21"/>
        <v>30</v>
      </c>
      <c r="AH82" s="303" t="s">
        <v>0</v>
      </c>
    </row>
    <row r="83" spans="1:34">
      <c r="C83" s="304">
        <f>AJ47</f>
        <v>0</v>
      </c>
      <c r="D83" s="305"/>
      <c r="E83" s="318"/>
      <c r="F83" s="318"/>
      <c r="G83" s="318"/>
      <c r="H83" s="318"/>
      <c r="I83" s="318"/>
      <c r="J83" s="318"/>
      <c r="K83" s="318"/>
      <c r="L83" s="318"/>
      <c r="M83" s="318"/>
      <c r="N83" s="318"/>
      <c r="O83" s="318"/>
      <c r="P83" s="318"/>
      <c r="Q83" s="318"/>
      <c r="R83" s="318"/>
      <c r="S83" s="318"/>
      <c r="T83" s="318"/>
      <c r="U83" s="318"/>
      <c r="V83" s="318"/>
      <c r="W83" s="318"/>
      <c r="X83" s="318"/>
      <c r="Y83" s="318"/>
      <c r="Z83" s="318"/>
      <c r="AA83" s="318"/>
      <c r="AB83" s="318"/>
      <c r="AC83" s="318"/>
      <c r="AD83" s="318"/>
      <c r="AE83" s="318"/>
      <c r="AF83" s="318"/>
      <c r="AG83" s="318"/>
      <c r="AH83" s="306">
        <f t="shared" ref="AH83:AH113" si="22">SUM(D83:AG83)</f>
        <v>0</v>
      </c>
    </row>
    <row r="84" spans="1:34">
      <c r="C84" s="307">
        <f t="shared" ref="C84:C113" si="23">C83+1</f>
        <v>1</v>
      </c>
      <c r="D84" s="305"/>
      <c r="E84" s="305"/>
      <c r="F84" s="305"/>
      <c r="G84" s="305"/>
      <c r="H84" s="305"/>
      <c r="I84" s="305"/>
      <c r="J84" s="305"/>
      <c r="K84" s="305"/>
      <c r="L84" s="305"/>
      <c r="M84" s="305"/>
      <c r="N84" s="305"/>
      <c r="O84" s="305"/>
      <c r="P84" s="305"/>
      <c r="Q84" s="305"/>
      <c r="R84" s="305"/>
      <c r="S84" s="305"/>
      <c r="T84" s="305"/>
      <c r="U84" s="305"/>
      <c r="V84" s="305"/>
      <c r="W84" s="305"/>
      <c r="X84" s="305"/>
      <c r="Y84" s="305"/>
      <c r="Z84" s="305"/>
      <c r="AA84" s="305"/>
      <c r="AB84" s="305"/>
      <c r="AC84" s="305"/>
      <c r="AD84" s="305"/>
      <c r="AE84" s="305"/>
      <c r="AF84" s="305"/>
      <c r="AG84" s="305"/>
      <c r="AH84" s="310">
        <f t="shared" si="22"/>
        <v>0</v>
      </c>
    </row>
    <row r="85" spans="1:34">
      <c r="C85" s="307">
        <f t="shared" si="23"/>
        <v>2</v>
      </c>
      <c r="D85" s="308" t="e">
        <f>D81/20</f>
        <v>#VALUE!</v>
      </c>
      <c r="E85" s="305"/>
      <c r="F85" s="305"/>
      <c r="G85" s="305"/>
      <c r="H85" s="305"/>
      <c r="I85" s="305"/>
      <c r="J85" s="305"/>
      <c r="K85" s="305"/>
      <c r="L85" s="305"/>
      <c r="M85" s="305"/>
      <c r="N85" s="305"/>
      <c r="O85" s="305"/>
      <c r="P85" s="305"/>
      <c r="Q85" s="305"/>
      <c r="R85" s="305"/>
      <c r="S85" s="305"/>
      <c r="T85" s="305"/>
      <c r="U85" s="305"/>
      <c r="V85" s="305"/>
      <c r="W85" s="305"/>
      <c r="X85" s="305"/>
      <c r="Y85" s="305"/>
      <c r="Z85" s="305"/>
      <c r="AA85" s="305"/>
      <c r="AB85" s="305"/>
      <c r="AC85" s="305"/>
      <c r="AD85" s="305"/>
      <c r="AE85" s="305"/>
      <c r="AF85" s="305"/>
      <c r="AG85" s="305"/>
      <c r="AH85" s="310" t="e">
        <f t="shared" si="22"/>
        <v>#VALUE!</v>
      </c>
    </row>
    <row r="86" spans="1:34">
      <c r="C86" s="307">
        <f t="shared" si="23"/>
        <v>3</v>
      </c>
      <c r="D86" s="305" t="e">
        <f>D85</f>
        <v>#VALUE!</v>
      </c>
      <c r="E86" s="308" t="e">
        <f>E$81/20</f>
        <v>#VALUE!</v>
      </c>
      <c r="F86" s="305"/>
      <c r="G86" s="305"/>
      <c r="H86" s="305"/>
      <c r="I86" s="305"/>
      <c r="J86" s="305"/>
      <c r="K86" s="305"/>
      <c r="L86" s="305"/>
      <c r="M86" s="305"/>
      <c r="N86" s="305"/>
      <c r="O86" s="305"/>
      <c r="P86" s="305"/>
      <c r="Q86" s="305"/>
      <c r="R86" s="305"/>
      <c r="S86" s="305"/>
      <c r="T86" s="305"/>
      <c r="U86" s="305"/>
      <c r="V86" s="305"/>
      <c r="W86" s="305"/>
      <c r="X86" s="305"/>
      <c r="Y86" s="305"/>
      <c r="Z86" s="305"/>
      <c r="AA86" s="305"/>
      <c r="AB86" s="305"/>
      <c r="AC86" s="305"/>
      <c r="AD86" s="305"/>
      <c r="AE86" s="305"/>
      <c r="AF86" s="305"/>
      <c r="AG86" s="305"/>
      <c r="AH86" s="310" t="e">
        <f t="shared" si="22"/>
        <v>#VALUE!</v>
      </c>
    </row>
    <row r="87" spans="1:34">
      <c r="C87" s="307">
        <f t="shared" si="23"/>
        <v>4</v>
      </c>
      <c r="D87" s="305" t="e">
        <f>D86</f>
        <v>#VALUE!</v>
      </c>
      <c r="E87" s="305" t="e">
        <f>E86</f>
        <v>#VALUE!</v>
      </c>
      <c r="F87" s="308" t="e">
        <f>F$81/20</f>
        <v>#VALUE!</v>
      </c>
      <c r="G87" s="305"/>
      <c r="H87" s="305"/>
      <c r="I87" s="305"/>
      <c r="J87" s="305"/>
      <c r="K87" s="305"/>
      <c r="L87" s="305"/>
      <c r="M87" s="305"/>
      <c r="N87" s="305"/>
      <c r="O87" s="305"/>
      <c r="P87" s="305"/>
      <c r="Q87" s="305"/>
      <c r="R87" s="305"/>
      <c r="S87" s="305"/>
      <c r="T87" s="305"/>
      <c r="U87" s="305"/>
      <c r="V87" s="305"/>
      <c r="W87" s="305"/>
      <c r="X87" s="305"/>
      <c r="Y87" s="305"/>
      <c r="Z87" s="305"/>
      <c r="AA87" s="305"/>
      <c r="AB87" s="305"/>
      <c r="AC87" s="305"/>
      <c r="AD87" s="305"/>
      <c r="AE87" s="305"/>
      <c r="AF87" s="305"/>
      <c r="AG87" s="305"/>
      <c r="AH87" s="310" t="e">
        <f t="shared" si="22"/>
        <v>#VALUE!</v>
      </c>
    </row>
    <row r="88" spans="1:34">
      <c r="C88" s="307">
        <f t="shared" si="23"/>
        <v>5</v>
      </c>
      <c r="D88" s="305" t="e">
        <f>D87</f>
        <v>#VALUE!</v>
      </c>
      <c r="E88" s="305" t="e">
        <f>E87</f>
        <v>#VALUE!</v>
      </c>
      <c r="F88" s="305" t="e">
        <f>F87</f>
        <v>#VALUE!</v>
      </c>
      <c r="G88" s="308" t="e">
        <f>G$81/20</f>
        <v>#VALUE!</v>
      </c>
      <c r="H88" s="305"/>
      <c r="I88" s="305"/>
      <c r="J88" s="305"/>
      <c r="K88" s="305"/>
      <c r="L88" s="305"/>
      <c r="M88" s="305"/>
      <c r="N88" s="305"/>
      <c r="O88" s="305"/>
      <c r="P88" s="305"/>
      <c r="Q88" s="305"/>
      <c r="R88" s="305"/>
      <c r="S88" s="305"/>
      <c r="T88" s="305"/>
      <c r="U88" s="305"/>
      <c r="V88" s="305"/>
      <c r="W88" s="305"/>
      <c r="X88" s="305"/>
      <c r="Y88" s="305"/>
      <c r="Z88" s="305"/>
      <c r="AA88" s="305"/>
      <c r="AB88" s="305"/>
      <c r="AC88" s="305"/>
      <c r="AD88" s="305"/>
      <c r="AE88" s="305"/>
      <c r="AF88" s="305"/>
      <c r="AG88" s="305"/>
      <c r="AH88" s="310" t="e">
        <f t="shared" si="22"/>
        <v>#VALUE!</v>
      </c>
    </row>
    <row r="89" spans="1:34">
      <c r="C89" s="307">
        <f t="shared" si="23"/>
        <v>6</v>
      </c>
      <c r="D89" s="305" t="e">
        <f>D88</f>
        <v>#VALUE!</v>
      </c>
      <c r="E89" s="305" t="e">
        <f>E88</f>
        <v>#VALUE!</v>
      </c>
      <c r="F89" s="305" t="e">
        <f>F88</f>
        <v>#VALUE!</v>
      </c>
      <c r="G89" s="305" t="e">
        <f>G88</f>
        <v>#VALUE!</v>
      </c>
      <c r="H89" s="308" t="e">
        <f>H$81/20</f>
        <v>#VALUE!</v>
      </c>
      <c r="I89" s="305"/>
      <c r="J89" s="305"/>
      <c r="K89" s="305"/>
      <c r="L89" s="305"/>
      <c r="M89" s="305"/>
      <c r="N89" s="305"/>
      <c r="O89" s="305"/>
      <c r="P89" s="305"/>
      <c r="Q89" s="305"/>
      <c r="R89" s="305"/>
      <c r="S89" s="305"/>
      <c r="T89" s="305"/>
      <c r="U89" s="305"/>
      <c r="V89" s="305"/>
      <c r="W89" s="305"/>
      <c r="X89" s="305"/>
      <c r="Y89" s="305"/>
      <c r="Z89" s="305"/>
      <c r="AA89" s="305"/>
      <c r="AB89" s="305"/>
      <c r="AC89" s="305"/>
      <c r="AD89" s="305"/>
      <c r="AE89" s="305"/>
      <c r="AF89" s="305"/>
      <c r="AG89" s="305"/>
      <c r="AH89" s="310" t="e">
        <f t="shared" si="22"/>
        <v>#VALUE!</v>
      </c>
    </row>
    <row r="90" spans="1:34">
      <c r="C90" s="307">
        <f t="shared" si="23"/>
        <v>7</v>
      </c>
      <c r="D90" s="305" t="e">
        <f>D89</f>
        <v>#VALUE!</v>
      </c>
      <c r="E90" s="305" t="e">
        <f>E89</f>
        <v>#VALUE!</v>
      </c>
      <c r="F90" s="305" t="e">
        <f>F89</f>
        <v>#VALUE!</v>
      </c>
      <c r="G90" s="305" t="e">
        <f>G89</f>
        <v>#VALUE!</v>
      </c>
      <c r="H90" s="305" t="e">
        <f>H89</f>
        <v>#VALUE!</v>
      </c>
      <c r="I90" s="308" t="e">
        <f>I$81/20</f>
        <v>#VALUE!</v>
      </c>
      <c r="J90" s="325"/>
      <c r="K90" s="305"/>
      <c r="L90" s="305"/>
      <c r="M90" s="305"/>
      <c r="N90" s="305"/>
      <c r="O90" s="305"/>
      <c r="P90" s="305"/>
      <c r="Q90" s="305"/>
      <c r="R90" s="305"/>
      <c r="S90" s="305"/>
      <c r="T90" s="305"/>
      <c r="U90" s="305"/>
      <c r="V90" s="305"/>
      <c r="W90" s="305"/>
      <c r="X90" s="305"/>
      <c r="Y90" s="305"/>
      <c r="Z90" s="305"/>
      <c r="AA90" s="305"/>
      <c r="AB90" s="305"/>
      <c r="AC90" s="305"/>
      <c r="AD90" s="305"/>
      <c r="AE90" s="305"/>
      <c r="AF90" s="305"/>
      <c r="AG90" s="305"/>
      <c r="AH90" s="310" t="e">
        <f t="shared" si="22"/>
        <v>#VALUE!</v>
      </c>
    </row>
    <row r="91" spans="1:34">
      <c r="C91" s="307">
        <f t="shared" si="23"/>
        <v>8</v>
      </c>
      <c r="D91" s="305" t="e">
        <f t="shared" ref="D91:S103" si="24">D90</f>
        <v>#VALUE!</v>
      </c>
      <c r="E91" s="305" t="e">
        <f t="shared" si="24"/>
        <v>#VALUE!</v>
      </c>
      <c r="F91" s="305" t="e">
        <f t="shared" si="24"/>
        <v>#VALUE!</v>
      </c>
      <c r="G91" s="305" t="e">
        <f t="shared" si="24"/>
        <v>#VALUE!</v>
      </c>
      <c r="H91" s="305" t="e">
        <f t="shared" si="24"/>
        <v>#VALUE!</v>
      </c>
      <c r="I91" s="305" t="e">
        <f t="shared" si="24"/>
        <v>#VALUE!</v>
      </c>
      <c r="J91" s="308" t="e">
        <f>J$81/20</f>
        <v>#VALUE!</v>
      </c>
      <c r="K91" s="305"/>
      <c r="L91" s="305"/>
      <c r="M91" s="305"/>
      <c r="N91" s="305"/>
      <c r="O91" s="305"/>
      <c r="P91" s="305"/>
      <c r="Q91" s="305"/>
      <c r="R91" s="305"/>
      <c r="S91" s="305"/>
      <c r="T91" s="305"/>
      <c r="U91" s="305"/>
      <c r="V91" s="305"/>
      <c r="W91" s="305"/>
      <c r="X91" s="305"/>
      <c r="Y91" s="305"/>
      <c r="Z91" s="305"/>
      <c r="AA91" s="305"/>
      <c r="AB91" s="305"/>
      <c r="AC91" s="305"/>
      <c r="AD91" s="305"/>
      <c r="AE91" s="305"/>
      <c r="AF91" s="305"/>
      <c r="AG91" s="305"/>
      <c r="AH91" s="310" t="e">
        <f t="shared" si="22"/>
        <v>#VALUE!</v>
      </c>
    </row>
    <row r="92" spans="1:34">
      <c r="C92" s="307">
        <f t="shared" si="23"/>
        <v>9</v>
      </c>
      <c r="D92" s="305" t="e">
        <f t="shared" si="24"/>
        <v>#VALUE!</v>
      </c>
      <c r="E92" s="305" t="e">
        <f t="shared" si="24"/>
        <v>#VALUE!</v>
      </c>
      <c r="F92" s="305" t="e">
        <f t="shared" si="24"/>
        <v>#VALUE!</v>
      </c>
      <c r="G92" s="305" t="e">
        <f t="shared" si="24"/>
        <v>#VALUE!</v>
      </c>
      <c r="H92" s="305" t="e">
        <f t="shared" si="24"/>
        <v>#VALUE!</v>
      </c>
      <c r="I92" s="305" t="e">
        <f t="shared" si="24"/>
        <v>#VALUE!</v>
      </c>
      <c r="J92" s="305" t="e">
        <f t="shared" si="24"/>
        <v>#VALUE!</v>
      </c>
      <c r="K92" s="308" t="e">
        <f>K$81/20</f>
        <v>#VALUE!</v>
      </c>
      <c r="L92" s="305"/>
      <c r="M92" s="305"/>
      <c r="N92" s="305"/>
      <c r="O92" s="305"/>
      <c r="P92" s="305"/>
      <c r="Q92" s="305"/>
      <c r="R92" s="305"/>
      <c r="S92" s="305"/>
      <c r="T92" s="305"/>
      <c r="U92" s="305"/>
      <c r="V92" s="305"/>
      <c r="W92" s="305"/>
      <c r="X92" s="305"/>
      <c r="Y92" s="305"/>
      <c r="Z92" s="305"/>
      <c r="AA92" s="305"/>
      <c r="AB92" s="305"/>
      <c r="AC92" s="305"/>
      <c r="AD92" s="305"/>
      <c r="AE92" s="305"/>
      <c r="AF92" s="305"/>
      <c r="AG92" s="305"/>
      <c r="AH92" s="310" t="e">
        <f t="shared" si="22"/>
        <v>#VALUE!</v>
      </c>
    </row>
    <row r="93" spans="1:34">
      <c r="C93" s="307">
        <f t="shared" si="23"/>
        <v>10</v>
      </c>
      <c r="D93" s="305" t="e">
        <f t="shared" si="24"/>
        <v>#VALUE!</v>
      </c>
      <c r="E93" s="305" t="e">
        <f t="shared" si="24"/>
        <v>#VALUE!</v>
      </c>
      <c r="F93" s="305" t="e">
        <f t="shared" si="24"/>
        <v>#VALUE!</v>
      </c>
      <c r="G93" s="305" t="e">
        <f t="shared" si="24"/>
        <v>#VALUE!</v>
      </c>
      <c r="H93" s="305" t="e">
        <f t="shared" si="24"/>
        <v>#VALUE!</v>
      </c>
      <c r="I93" s="305" t="e">
        <f t="shared" si="24"/>
        <v>#VALUE!</v>
      </c>
      <c r="J93" s="305" t="e">
        <f t="shared" si="24"/>
        <v>#VALUE!</v>
      </c>
      <c r="K93" s="305" t="e">
        <f t="shared" si="24"/>
        <v>#VALUE!</v>
      </c>
      <c r="L93" s="308" t="e">
        <f>L$81/20</f>
        <v>#VALUE!</v>
      </c>
      <c r="M93" s="305"/>
      <c r="N93" s="305"/>
      <c r="O93" s="305"/>
      <c r="P93" s="305"/>
      <c r="Q93" s="305"/>
      <c r="R93" s="305"/>
      <c r="S93" s="305"/>
      <c r="T93" s="305"/>
      <c r="U93" s="305"/>
      <c r="V93" s="305"/>
      <c r="W93" s="305"/>
      <c r="X93" s="305"/>
      <c r="Y93" s="305"/>
      <c r="Z93" s="305"/>
      <c r="AA93" s="305"/>
      <c r="AB93" s="305"/>
      <c r="AC93" s="305"/>
      <c r="AD93" s="305"/>
      <c r="AE93" s="305"/>
      <c r="AF93" s="305"/>
      <c r="AG93" s="305"/>
      <c r="AH93" s="310" t="e">
        <f t="shared" si="22"/>
        <v>#VALUE!</v>
      </c>
    </row>
    <row r="94" spans="1:34">
      <c r="C94" s="307">
        <f t="shared" si="23"/>
        <v>11</v>
      </c>
      <c r="D94" s="305" t="e">
        <f t="shared" si="24"/>
        <v>#VALUE!</v>
      </c>
      <c r="E94" s="305" t="e">
        <f t="shared" si="24"/>
        <v>#VALUE!</v>
      </c>
      <c r="F94" s="305" t="e">
        <f t="shared" si="24"/>
        <v>#VALUE!</v>
      </c>
      <c r="G94" s="305" t="e">
        <f t="shared" si="24"/>
        <v>#VALUE!</v>
      </c>
      <c r="H94" s="305" t="e">
        <f t="shared" si="24"/>
        <v>#VALUE!</v>
      </c>
      <c r="I94" s="305" t="e">
        <f t="shared" si="24"/>
        <v>#VALUE!</v>
      </c>
      <c r="J94" s="305" t="e">
        <f t="shared" si="24"/>
        <v>#VALUE!</v>
      </c>
      <c r="K94" s="305" t="e">
        <f t="shared" si="24"/>
        <v>#VALUE!</v>
      </c>
      <c r="L94" s="305" t="e">
        <f t="shared" si="24"/>
        <v>#VALUE!</v>
      </c>
      <c r="M94" s="308" t="e">
        <f>M$81/20</f>
        <v>#VALUE!</v>
      </c>
      <c r="N94" s="305"/>
      <c r="O94" s="305"/>
      <c r="P94" s="305"/>
      <c r="Q94" s="305"/>
      <c r="R94" s="305"/>
      <c r="S94" s="305"/>
      <c r="T94" s="305"/>
      <c r="U94" s="305"/>
      <c r="V94" s="305"/>
      <c r="W94" s="305"/>
      <c r="X94" s="305"/>
      <c r="Y94" s="305"/>
      <c r="Z94" s="305"/>
      <c r="AA94" s="305"/>
      <c r="AB94" s="305"/>
      <c r="AC94" s="305"/>
      <c r="AD94" s="305"/>
      <c r="AE94" s="305"/>
      <c r="AF94" s="305"/>
      <c r="AG94" s="305"/>
      <c r="AH94" s="310" t="e">
        <f t="shared" si="22"/>
        <v>#VALUE!</v>
      </c>
    </row>
    <row r="95" spans="1:34">
      <c r="C95" s="307">
        <f t="shared" si="23"/>
        <v>12</v>
      </c>
      <c r="D95" s="305" t="e">
        <f t="shared" si="24"/>
        <v>#VALUE!</v>
      </c>
      <c r="E95" s="305" t="e">
        <f t="shared" si="24"/>
        <v>#VALUE!</v>
      </c>
      <c r="F95" s="305" t="e">
        <f t="shared" si="24"/>
        <v>#VALUE!</v>
      </c>
      <c r="G95" s="305" t="e">
        <f t="shared" si="24"/>
        <v>#VALUE!</v>
      </c>
      <c r="H95" s="305" t="e">
        <f t="shared" si="24"/>
        <v>#VALUE!</v>
      </c>
      <c r="I95" s="305" t="e">
        <f t="shared" si="24"/>
        <v>#VALUE!</v>
      </c>
      <c r="J95" s="305" t="e">
        <f t="shared" si="24"/>
        <v>#VALUE!</v>
      </c>
      <c r="K95" s="305" t="e">
        <f t="shared" si="24"/>
        <v>#VALUE!</v>
      </c>
      <c r="L95" s="305" t="e">
        <f t="shared" si="24"/>
        <v>#VALUE!</v>
      </c>
      <c r="M95" s="305" t="e">
        <f t="shared" si="24"/>
        <v>#VALUE!</v>
      </c>
      <c r="N95" s="308" t="e">
        <f>N81/19</f>
        <v>#VALUE!</v>
      </c>
      <c r="O95" s="305"/>
      <c r="P95" s="305"/>
      <c r="Q95" s="305"/>
      <c r="R95" s="305"/>
      <c r="S95" s="305"/>
      <c r="T95" s="305"/>
      <c r="U95" s="305"/>
      <c r="V95" s="305"/>
      <c r="W95" s="305"/>
      <c r="X95" s="305"/>
      <c r="Y95" s="305"/>
      <c r="Z95" s="305"/>
      <c r="AA95" s="305"/>
      <c r="AB95" s="305"/>
      <c r="AC95" s="305"/>
      <c r="AD95" s="305"/>
      <c r="AE95" s="305"/>
      <c r="AF95" s="305"/>
      <c r="AG95" s="305"/>
      <c r="AH95" s="310" t="e">
        <f t="shared" si="22"/>
        <v>#VALUE!</v>
      </c>
    </row>
    <row r="96" spans="1:34">
      <c r="C96" s="307">
        <f t="shared" si="23"/>
        <v>13</v>
      </c>
      <c r="D96" s="305" t="e">
        <f t="shared" si="24"/>
        <v>#VALUE!</v>
      </c>
      <c r="E96" s="305" t="e">
        <f t="shared" si="24"/>
        <v>#VALUE!</v>
      </c>
      <c r="F96" s="305" t="e">
        <f t="shared" si="24"/>
        <v>#VALUE!</v>
      </c>
      <c r="G96" s="305" t="e">
        <f t="shared" si="24"/>
        <v>#VALUE!</v>
      </c>
      <c r="H96" s="305" t="e">
        <f t="shared" si="24"/>
        <v>#VALUE!</v>
      </c>
      <c r="I96" s="305" t="e">
        <f t="shared" si="24"/>
        <v>#VALUE!</v>
      </c>
      <c r="J96" s="305" t="e">
        <f t="shared" si="24"/>
        <v>#VALUE!</v>
      </c>
      <c r="K96" s="305" t="e">
        <f t="shared" si="24"/>
        <v>#VALUE!</v>
      </c>
      <c r="L96" s="305" t="e">
        <f t="shared" si="24"/>
        <v>#VALUE!</v>
      </c>
      <c r="M96" s="305" t="e">
        <f t="shared" si="24"/>
        <v>#VALUE!</v>
      </c>
      <c r="N96" s="305" t="e">
        <f t="shared" si="24"/>
        <v>#VALUE!</v>
      </c>
      <c r="O96" s="308" t="e">
        <f>O81/18</f>
        <v>#VALUE!</v>
      </c>
      <c r="P96" s="325"/>
      <c r="Q96" s="305"/>
      <c r="R96" s="305"/>
      <c r="S96" s="305"/>
      <c r="T96" s="305"/>
      <c r="U96" s="305"/>
      <c r="V96" s="305"/>
      <c r="W96" s="305"/>
      <c r="X96" s="305"/>
      <c r="Y96" s="305"/>
      <c r="Z96" s="305"/>
      <c r="AA96" s="305"/>
      <c r="AB96" s="305"/>
      <c r="AC96" s="305"/>
      <c r="AD96" s="305"/>
      <c r="AE96" s="305"/>
      <c r="AF96" s="305"/>
      <c r="AG96" s="305"/>
      <c r="AH96" s="310" t="e">
        <f t="shared" si="22"/>
        <v>#VALUE!</v>
      </c>
    </row>
    <row r="97" spans="3:34">
      <c r="C97" s="307">
        <f t="shared" si="23"/>
        <v>14</v>
      </c>
      <c r="D97" s="305" t="e">
        <f t="shared" si="24"/>
        <v>#VALUE!</v>
      </c>
      <c r="E97" s="305" t="e">
        <f t="shared" si="24"/>
        <v>#VALUE!</v>
      </c>
      <c r="F97" s="305" t="e">
        <f t="shared" si="24"/>
        <v>#VALUE!</v>
      </c>
      <c r="G97" s="305" t="e">
        <f t="shared" si="24"/>
        <v>#VALUE!</v>
      </c>
      <c r="H97" s="305" t="e">
        <f t="shared" si="24"/>
        <v>#VALUE!</v>
      </c>
      <c r="I97" s="305" t="e">
        <f t="shared" si="24"/>
        <v>#VALUE!</v>
      </c>
      <c r="J97" s="305" t="e">
        <f t="shared" si="24"/>
        <v>#VALUE!</v>
      </c>
      <c r="K97" s="305" t="e">
        <f t="shared" si="24"/>
        <v>#VALUE!</v>
      </c>
      <c r="L97" s="305" t="e">
        <f t="shared" si="24"/>
        <v>#VALUE!</v>
      </c>
      <c r="M97" s="305" t="e">
        <f t="shared" si="24"/>
        <v>#VALUE!</v>
      </c>
      <c r="N97" s="305" t="e">
        <f t="shared" si="24"/>
        <v>#VALUE!</v>
      </c>
      <c r="O97" s="305" t="e">
        <f t="shared" si="24"/>
        <v>#VALUE!</v>
      </c>
      <c r="P97" s="326" t="e">
        <f>P81/17</f>
        <v>#VALUE!</v>
      </c>
      <c r="Q97" s="305"/>
      <c r="R97" s="305"/>
      <c r="S97" s="305"/>
      <c r="T97" s="305"/>
      <c r="U97" s="305"/>
      <c r="V97" s="305"/>
      <c r="W97" s="305"/>
      <c r="X97" s="305"/>
      <c r="Y97" s="305"/>
      <c r="Z97" s="305"/>
      <c r="AA97" s="305"/>
      <c r="AB97" s="305"/>
      <c r="AC97" s="305"/>
      <c r="AD97" s="305"/>
      <c r="AE97" s="305"/>
      <c r="AF97" s="305"/>
      <c r="AG97" s="305"/>
      <c r="AH97" s="310" t="e">
        <f t="shared" si="22"/>
        <v>#VALUE!</v>
      </c>
    </row>
    <row r="98" spans="3:34">
      <c r="C98" s="307">
        <f t="shared" si="23"/>
        <v>15</v>
      </c>
      <c r="D98" s="305" t="e">
        <f t="shared" si="24"/>
        <v>#VALUE!</v>
      </c>
      <c r="E98" s="305" t="e">
        <f t="shared" si="24"/>
        <v>#VALUE!</v>
      </c>
      <c r="F98" s="305" t="e">
        <f t="shared" si="24"/>
        <v>#VALUE!</v>
      </c>
      <c r="G98" s="305" t="e">
        <f t="shared" si="24"/>
        <v>#VALUE!</v>
      </c>
      <c r="H98" s="305" t="e">
        <f t="shared" si="24"/>
        <v>#VALUE!</v>
      </c>
      <c r="I98" s="305" t="e">
        <f t="shared" si="24"/>
        <v>#VALUE!</v>
      </c>
      <c r="J98" s="305" t="e">
        <f t="shared" si="24"/>
        <v>#VALUE!</v>
      </c>
      <c r="K98" s="305" t="e">
        <f t="shared" si="24"/>
        <v>#VALUE!</v>
      </c>
      <c r="L98" s="305" t="e">
        <f t="shared" si="24"/>
        <v>#VALUE!</v>
      </c>
      <c r="M98" s="305" t="e">
        <f t="shared" si="24"/>
        <v>#VALUE!</v>
      </c>
      <c r="N98" s="305" t="e">
        <f t="shared" si="24"/>
        <v>#VALUE!</v>
      </c>
      <c r="O98" s="305" t="e">
        <f t="shared" si="24"/>
        <v>#VALUE!</v>
      </c>
      <c r="P98" s="325" t="e">
        <f>P97</f>
        <v>#VALUE!</v>
      </c>
      <c r="Q98" s="308" t="e">
        <f>Q81/16</f>
        <v>#VALUE!</v>
      </c>
      <c r="R98" s="305"/>
      <c r="S98" s="305"/>
      <c r="T98" s="305"/>
      <c r="U98" s="305"/>
      <c r="V98" s="305"/>
      <c r="W98" s="305"/>
      <c r="X98" s="305"/>
      <c r="Y98" s="305"/>
      <c r="Z98" s="305"/>
      <c r="AA98" s="305"/>
      <c r="AB98" s="305"/>
      <c r="AC98" s="305"/>
      <c r="AD98" s="305"/>
      <c r="AE98" s="305"/>
      <c r="AF98" s="305"/>
      <c r="AG98" s="305"/>
      <c r="AH98" s="310" t="e">
        <f t="shared" si="22"/>
        <v>#VALUE!</v>
      </c>
    </row>
    <row r="99" spans="3:34">
      <c r="C99" s="307">
        <f t="shared" si="23"/>
        <v>16</v>
      </c>
      <c r="D99" s="305" t="e">
        <f t="shared" si="24"/>
        <v>#VALUE!</v>
      </c>
      <c r="E99" s="305" t="e">
        <f t="shared" si="24"/>
        <v>#VALUE!</v>
      </c>
      <c r="F99" s="305" t="e">
        <f t="shared" si="24"/>
        <v>#VALUE!</v>
      </c>
      <c r="G99" s="305" t="e">
        <f t="shared" si="24"/>
        <v>#VALUE!</v>
      </c>
      <c r="H99" s="305" t="e">
        <f t="shared" si="24"/>
        <v>#VALUE!</v>
      </c>
      <c r="I99" s="305" t="e">
        <f t="shared" si="24"/>
        <v>#VALUE!</v>
      </c>
      <c r="J99" s="305" t="e">
        <f t="shared" si="24"/>
        <v>#VALUE!</v>
      </c>
      <c r="K99" s="305" t="e">
        <f t="shared" si="24"/>
        <v>#VALUE!</v>
      </c>
      <c r="L99" s="305" t="e">
        <f t="shared" si="24"/>
        <v>#VALUE!</v>
      </c>
      <c r="M99" s="305" t="e">
        <f t="shared" si="24"/>
        <v>#VALUE!</v>
      </c>
      <c r="N99" s="305" t="e">
        <f t="shared" si="24"/>
        <v>#VALUE!</v>
      </c>
      <c r="O99" s="305" t="e">
        <f t="shared" si="24"/>
        <v>#VALUE!</v>
      </c>
      <c r="P99" s="325" t="e">
        <f>P98</f>
        <v>#VALUE!</v>
      </c>
      <c r="Q99" s="305" t="e">
        <f>Q98</f>
        <v>#VALUE!</v>
      </c>
      <c r="R99" s="308" t="e">
        <f>R81/15</f>
        <v>#VALUE!</v>
      </c>
      <c r="S99" s="305"/>
      <c r="T99" s="305"/>
      <c r="U99" s="305"/>
      <c r="V99" s="305"/>
      <c r="W99" s="305"/>
      <c r="X99" s="305"/>
      <c r="Y99" s="305"/>
      <c r="Z99" s="305"/>
      <c r="AA99" s="305"/>
      <c r="AB99" s="305"/>
      <c r="AC99" s="305"/>
      <c r="AD99" s="305"/>
      <c r="AE99" s="305"/>
      <c r="AF99" s="305"/>
      <c r="AG99" s="305"/>
      <c r="AH99" s="310" t="e">
        <f t="shared" si="22"/>
        <v>#VALUE!</v>
      </c>
    </row>
    <row r="100" spans="3:34">
      <c r="C100" s="307">
        <f t="shared" si="23"/>
        <v>17</v>
      </c>
      <c r="D100" s="305" t="e">
        <f t="shared" si="24"/>
        <v>#VALUE!</v>
      </c>
      <c r="E100" s="305" t="e">
        <f t="shared" si="24"/>
        <v>#VALUE!</v>
      </c>
      <c r="F100" s="305" t="e">
        <f t="shared" si="24"/>
        <v>#VALUE!</v>
      </c>
      <c r="G100" s="305" t="e">
        <f t="shared" si="24"/>
        <v>#VALUE!</v>
      </c>
      <c r="H100" s="305" t="e">
        <f t="shared" si="24"/>
        <v>#VALUE!</v>
      </c>
      <c r="I100" s="305" t="e">
        <f t="shared" si="24"/>
        <v>#VALUE!</v>
      </c>
      <c r="J100" s="305" t="e">
        <f t="shared" si="24"/>
        <v>#VALUE!</v>
      </c>
      <c r="K100" s="305" t="e">
        <f t="shared" si="24"/>
        <v>#VALUE!</v>
      </c>
      <c r="L100" s="305" t="e">
        <f t="shared" si="24"/>
        <v>#VALUE!</v>
      </c>
      <c r="M100" s="305" t="e">
        <f t="shared" si="24"/>
        <v>#VALUE!</v>
      </c>
      <c r="N100" s="305" t="e">
        <f t="shared" si="24"/>
        <v>#VALUE!</v>
      </c>
      <c r="O100" s="305" t="e">
        <f t="shared" si="24"/>
        <v>#VALUE!</v>
      </c>
      <c r="P100" s="325" t="e">
        <f>P99</f>
        <v>#VALUE!</v>
      </c>
      <c r="Q100" s="305" t="e">
        <f>Q99</f>
        <v>#VALUE!</v>
      </c>
      <c r="R100" s="305" t="e">
        <f>R99</f>
        <v>#VALUE!</v>
      </c>
      <c r="S100" s="308" t="e">
        <f>S81/14</f>
        <v>#VALUE!</v>
      </c>
      <c r="T100" s="305"/>
      <c r="U100" s="305"/>
      <c r="V100" s="305"/>
      <c r="W100" s="305"/>
      <c r="X100" s="305"/>
      <c r="Y100" s="305"/>
      <c r="Z100" s="305"/>
      <c r="AA100" s="305"/>
      <c r="AB100" s="305"/>
      <c r="AC100" s="305"/>
      <c r="AD100" s="305"/>
      <c r="AE100" s="305"/>
      <c r="AF100" s="305"/>
      <c r="AG100" s="305"/>
      <c r="AH100" s="310" t="e">
        <f t="shared" si="22"/>
        <v>#VALUE!</v>
      </c>
    </row>
    <row r="101" spans="3:34">
      <c r="C101" s="307">
        <f t="shared" si="23"/>
        <v>18</v>
      </c>
      <c r="D101" s="305" t="e">
        <f t="shared" si="24"/>
        <v>#VALUE!</v>
      </c>
      <c r="E101" s="305" t="e">
        <f t="shared" si="24"/>
        <v>#VALUE!</v>
      </c>
      <c r="F101" s="305" t="e">
        <f t="shared" si="24"/>
        <v>#VALUE!</v>
      </c>
      <c r="G101" s="305" t="e">
        <f t="shared" si="24"/>
        <v>#VALUE!</v>
      </c>
      <c r="H101" s="305" t="e">
        <f t="shared" si="24"/>
        <v>#VALUE!</v>
      </c>
      <c r="I101" s="305" t="e">
        <f t="shared" si="24"/>
        <v>#VALUE!</v>
      </c>
      <c r="J101" s="305" t="e">
        <f t="shared" si="24"/>
        <v>#VALUE!</v>
      </c>
      <c r="K101" s="305" t="e">
        <f t="shared" si="24"/>
        <v>#VALUE!</v>
      </c>
      <c r="L101" s="305" t="e">
        <f t="shared" si="24"/>
        <v>#VALUE!</v>
      </c>
      <c r="M101" s="305" t="e">
        <f t="shared" si="24"/>
        <v>#VALUE!</v>
      </c>
      <c r="N101" s="305" t="e">
        <f t="shared" si="24"/>
        <v>#VALUE!</v>
      </c>
      <c r="O101" s="305" t="e">
        <f t="shared" si="24"/>
        <v>#VALUE!</v>
      </c>
      <c r="P101" s="325" t="e">
        <f>P100</f>
        <v>#VALUE!</v>
      </c>
      <c r="Q101" s="305" t="e">
        <f>Q100</f>
        <v>#VALUE!</v>
      </c>
      <c r="R101" s="305" t="e">
        <f>R100</f>
        <v>#VALUE!</v>
      </c>
      <c r="S101" s="305" t="e">
        <f>S100</f>
        <v>#VALUE!</v>
      </c>
      <c r="T101" s="308" t="e">
        <f>T81/13</f>
        <v>#VALUE!</v>
      </c>
      <c r="U101" s="305"/>
      <c r="V101" s="305"/>
      <c r="W101" s="305"/>
      <c r="X101" s="305"/>
      <c r="Y101" s="305"/>
      <c r="Z101" s="305"/>
      <c r="AA101" s="305"/>
      <c r="AB101" s="305"/>
      <c r="AC101" s="305"/>
      <c r="AD101" s="305"/>
      <c r="AE101" s="305"/>
      <c r="AF101" s="305"/>
      <c r="AG101" s="305"/>
      <c r="AH101" s="310" t="e">
        <f t="shared" si="22"/>
        <v>#VALUE!</v>
      </c>
    </row>
    <row r="102" spans="3:34">
      <c r="C102" s="307">
        <f t="shared" si="23"/>
        <v>19</v>
      </c>
      <c r="D102" s="305" t="e">
        <f t="shared" si="24"/>
        <v>#VALUE!</v>
      </c>
      <c r="E102" s="305" t="e">
        <f t="shared" si="24"/>
        <v>#VALUE!</v>
      </c>
      <c r="F102" s="305" t="e">
        <f t="shared" si="24"/>
        <v>#VALUE!</v>
      </c>
      <c r="G102" s="305" t="e">
        <f t="shared" si="24"/>
        <v>#VALUE!</v>
      </c>
      <c r="H102" s="305" t="e">
        <f t="shared" si="24"/>
        <v>#VALUE!</v>
      </c>
      <c r="I102" s="305" t="e">
        <f t="shared" si="24"/>
        <v>#VALUE!</v>
      </c>
      <c r="J102" s="305" t="e">
        <f t="shared" si="24"/>
        <v>#VALUE!</v>
      </c>
      <c r="K102" s="305" t="e">
        <f t="shared" si="24"/>
        <v>#VALUE!</v>
      </c>
      <c r="L102" s="305" t="e">
        <f t="shared" si="24"/>
        <v>#VALUE!</v>
      </c>
      <c r="M102" s="305" t="e">
        <f t="shared" si="24"/>
        <v>#VALUE!</v>
      </c>
      <c r="N102" s="305" t="e">
        <f t="shared" si="24"/>
        <v>#VALUE!</v>
      </c>
      <c r="O102" s="305" t="e">
        <f t="shared" si="24"/>
        <v>#VALUE!</v>
      </c>
      <c r="P102" s="325" t="e">
        <f>P101</f>
        <v>#VALUE!</v>
      </c>
      <c r="Q102" s="305" t="e">
        <f>Q101</f>
        <v>#VALUE!</v>
      </c>
      <c r="R102" s="305" t="e">
        <f>R101</f>
        <v>#VALUE!</v>
      </c>
      <c r="S102" s="305" t="e">
        <f>S101</f>
        <v>#VALUE!</v>
      </c>
      <c r="T102" s="305" t="e">
        <f>T101</f>
        <v>#VALUE!</v>
      </c>
      <c r="U102" s="308" t="e">
        <f>U81/12</f>
        <v>#VALUE!</v>
      </c>
      <c r="V102" s="305"/>
      <c r="W102" s="305"/>
      <c r="X102" s="305"/>
      <c r="Y102" s="305"/>
      <c r="Z102" s="305"/>
      <c r="AA102" s="305"/>
      <c r="AB102" s="305"/>
      <c r="AC102" s="305"/>
      <c r="AD102" s="305"/>
      <c r="AE102" s="305"/>
      <c r="AF102" s="305"/>
      <c r="AG102" s="305"/>
      <c r="AH102" s="310" t="e">
        <f t="shared" si="22"/>
        <v>#VALUE!</v>
      </c>
    </row>
    <row r="103" spans="3:34">
      <c r="C103" s="307">
        <f t="shared" si="23"/>
        <v>20</v>
      </c>
      <c r="D103" s="305" t="e">
        <f t="shared" si="24"/>
        <v>#VALUE!</v>
      </c>
      <c r="E103" s="305" t="e">
        <f t="shared" si="24"/>
        <v>#VALUE!</v>
      </c>
      <c r="F103" s="305" t="e">
        <f t="shared" si="24"/>
        <v>#VALUE!</v>
      </c>
      <c r="G103" s="305" t="e">
        <f t="shared" si="24"/>
        <v>#VALUE!</v>
      </c>
      <c r="H103" s="305" t="e">
        <f t="shared" si="24"/>
        <v>#VALUE!</v>
      </c>
      <c r="I103" s="305" t="e">
        <f t="shared" si="24"/>
        <v>#VALUE!</v>
      </c>
      <c r="J103" s="305" t="e">
        <f t="shared" si="24"/>
        <v>#VALUE!</v>
      </c>
      <c r="K103" s="305" t="e">
        <f t="shared" si="24"/>
        <v>#VALUE!</v>
      </c>
      <c r="L103" s="305" t="e">
        <f t="shared" si="24"/>
        <v>#VALUE!</v>
      </c>
      <c r="M103" s="305" t="e">
        <f t="shared" si="24"/>
        <v>#VALUE!</v>
      </c>
      <c r="N103" s="305" t="e">
        <f t="shared" si="24"/>
        <v>#VALUE!</v>
      </c>
      <c r="O103" s="305" t="e">
        <f t="shared" si="24"/>
        <v>#VALUE!</v>
      </c>
      <c r="P103" s="305" t="e">
        <f t="shared" si="24"/>
        <v>#VALUE!</v>
      </c>
      <c r="Q103" s="305" t="e">
        <f t="shared" si="24"/>
        <v>#VALUE!</v>
      </c>
      <c r="R103" s="305" t="e">
        <f t="shared" si="24"/>
        <v>#VALUE!</v>
      </c>
      <c r="S103" s="305" t="e">
        <f t="shared" si="24"/>
        <v>#VALUE!</v>
      </c>
      <c r="T103" s="305" t="e">
        <f t="shared" ref="D103:Z113" si="25">T102</f>
        <v>#VALUE!</v>
      </c>
      <c r="U103" s="305" t="e">
        <f>U102</f>
        <v>#VALUE!</v>
      </c>
      <c r="V103" s="308" t="e">
        <f>V81/11</f>
        <v>#VALUE!</v>
      </c>
      <c r="W103" s="305"/>
      <c r="X103" s="305"/>
      <c r="Y103" s="305"/>
      <c r="Z103" s="305"/>
      <c r="AA103" s="305"/>
      <c r="AB103" s="305"/>
      <c r="AC103" s="305"/>
      <c r="AD103" s="305"/>
      <c r="AE103" s="305"/>
      <c r="AF103" s="305"/>
      <c r="AG103" s="305"/>
      <c r="AH103" s="310" t="e">
        <f t="shared" si="22"/>
        <v>#VALUE!</v>
      </c>
    </row>
    <row r="104" spans="3:34">
      <c r="C104" s="307">
        <f t="shared" si="23"/>
        <v>21</v>
      </c>
      <c r="D104" s="305" t="e">
        <f t="shared" si="25"/>
        <v>#VALUE!</v>
      </c>
      <c r="E104" s="305" t="e">
        <f t="shared" si="25"/>
        <v>#VALUE!</v>
      </c>
      <c r="F104" s="305" t="e">
        <f t="shared" si="25"/>
        <v>#VALUE!</v>
      </c>
      <c r="G104" s="305" t="e">
        <f t="shared" si="25"/>
        <v>#VALUE!</v>
      </c>
      <c r="H104" s="305" t="e">
        <f t="shared" si="25"/>
        <v>#VALUE!</v>
      </c>
      <c r="I104" s="305" t="e">
        <f t="shared" si="25"/>
        <v>#VALUE!</v>
      </c>
      <c r="J104" s="305" t="e">
        <f t="shared" si="25"/>
        <v>#VALUE!</v>
      </c>
      <c r="K104" s="305" t="e">
        <f t="shared" si="25"/>
        <v>#VALUE!</v>
      </c>
      <c r="L104" s="305" t="e">
        <f t="shared" si="25"/>
        <v>#VALUE!</v>
      </c>
      <c r="M104" s="305" t="e">
        <f t="shared" si="25"/>
        <v>#VALUE!</v>
      </c>
      <c r="N104" s="305" t="e">
        <f t="shared" si="25"/>
        <v>#VALUE!</v>
      </c>
      <c r="O104" s="305" t="e">
        <f t="shared" si="25"/>
        <v>#VALUE!</v>
      </c>
      <c r="P104" s="305" t="e">
        <f t="shared" si="25"/>
        <v>#VALUE!</v>
      </c>
      <c r="Q104" s="305" t="e">
        <f t="shared" si="25"/>
        <v>#VALUE!</v>
      </c>
      <c r="R104" s="305" t="e">
        <f t="shared" si="25"/>
        <v>#VALUE!</v>
      </c>
      <c r="S104" s="305" t="e">
        <f t="shared" si="25"/>
        <v>#VALUE!</v>
      </c>
      <c r="T104" s="305" t="e">
        <f t="shared" si="25"/>
        <v>#VALUE!</v>
      </c>
      <c r="U104" s="305" t="e">
        <f t="shared" si="25"/>
        <v>#VALUE!</v>
      </c>
      <c r="V104" s="305" t="e">
        <f>V103</f>
        <v>#VALUE!</v>
      </c>
      <c r="W104" s="308" t="e">
        <f>W81/10</f>
        <v>#VALUE!</v>
      </c>
      <c r="X104" s="305"/>
      <c r="Y104" s="305"/>
      <c r="Z104" s="305"/>
      <c r="AA104" s="305"/>
      <c r="AB104" s="305"/>
      <c r="AC104" s="305"/>
      <c r="AD104" s="305"/>
      <c r="AE104" s="305"/>
      <c r="AF104" s="305"/>
      <c r="AG104" s="305"/>
      <c r="AH104" s="310" t="e">
        <f t="shared" si="22"/>
        <v>#VALUE!</v>
      </c>
    </row>
    <row r="105" spans="3:34">
      <c r="C105" s="307">
        <f t="shared" si="23"/>
        <v>22</v>
      </c>
      <c r="D105" s="305"/>
      <c r="E105" s="305" t="e">
        <f t="shared" si="25"/>
        <v>#VALUE!</v>
      </c>
      <c r="F105" s="305" t="e">
        <f t="shared" si="25"/>
        <v>#VALUE!</v>
      </c>
      <c r="G105" s="305" t="e">
        <f t="shared" si="25"/>
        <v>#VALUE!</v>
      </c>
      <c r="H105" s="305" t="e">
        <f t="shared" si="25"/>
        <v>#VALUE!</v>
      </c>
      <c r="I105" s="305" t="e">
        <f t="shared" si="25"/>
        <v>#VALUE!</v>
      </c>
      <c r="J105" s="305" t="e">
        <f t="shared" si="25"/>
        <v>#VALUE!</v>
      </c>
      <c r="K105" s="305" t="e">
        <f t="shared" si="25"/>
        <v>#VALUE!</v>
      </c>
      <c r="L105" s="305" t="e">
        <f t="shared" si="25"/>
        <v>#VALUE!</v>
      </c>
      <c r="M105" s="305" t="e">
        <f t="shared" si="25"/>
        <v>#VALUE!</v>
      </c>
      <c r="N105" s="305" t="e">
        <f t="shared" si="25"/>
        <v>#VALUE!</v>
      </c>
      <c r="O105" s="305" t="e">
        <f t="shared" si="25"/>
        <v>#VALUE!</v>
      </c>
      <c r="P105" s="305" t="e">
        <f t="shared" si="25"/>
        <v>#VALUE!</v>
      </c>
      <c r="Q105" s="305" t="e">
        <f t="shared" si="25"/>
        <v>#VALUE!</v>
      </c>
      <c r="R105" s="305" t="e">
        <f t="shared" si="25"/>
        <v>#VALUE!</v>
      </c>
      <c r="S105" s="305" t="e">
        <f t="shared" si="25"/>
        <v>#VALUE!</v>
      </c>
      <c r="T105" s="305" t="e">
        <f t="shared" si="25"/>
        <v>#VALUE!</v>
      </c>
      <c r="U105" s="305" t="e">
        <f t="shared" si="25"/>
        <v>#VALUE!</v>
      </c>
      <c r="V105" s="305" t="e">
        <f t="shared" si="25"/>
        <v>#VALUE!</v>
      </c>
      <c r="W105" s="305" t="e">
        <f>W104</f>
        <v>#VALUE!</v>
      </c>
      <c r="X105" s="308" t="e">
        <f>X81/9</f>
        <v>#VALUE!</v>
      </c>
      <c r="Y105" s="305"/>
      <c r="Z105" s="305"/>
      <c r="AA105" s="305"/>
      <c r="AB105" s="305"/>
      <c r="AC105" s="305"/>
      <c r="AD105" s="305"/>
      <c r="AE105" s="305"/>
      <c r="AF105" s="305"/>
      <c r="AG105" s="305"/>
      <c r="AH105" s="310" t="e">
        <f t="shared" si="22"/>
        <v>#VALUE!</v>
      </c>
    </row>
    <row r="106" spans="3:34">
      <c r="C106" s="307">
        <f t="shared" si="23"/>
        <v>23</v>
      </c>
      <c r="D106" s="305"/>
      <c r="E106" s="305"/>
      <c r="F106" s="305" t="e">
        <f t="shared" si="25"/>
        <v>#VALUE!</v>
      </c>
      <c r="G106" s="305" t="e">
        <f t="shared" si="25"/>
        <v>#VALUE!</v>
      </c>
      <c r="H106" s="305" t="e">
        <f t="shared" si="25"/>
        <v>#VALUE!</v>
      </c>
      <c r="I106" s="305" t="e">
        <f t="shared" si="25"/>
        <v>#VALUE!</v>
      </c>
      <c r="J106" s="305" t="e">
        <f t="shared" si="25"/>
        <v>#VALUE!</v>
      </c>
      <c r="K106" s="305" t="e">
        <f t="shared" si="25"/>
        <v>#VALUE!</v>
      </c>
      <c r="L106" s="305" t="e">
        <f t="shared" si="25"/>
        <v>#VALUE!</v>
      </c>
      <c r="M106" s="305" t="e">
        <f t="shared" si="25"/>
        <v>#VALUE!</v>
      </c>
      <c r="N106" s="305" t="e">
        <f t="shared" si="25"/>
        <v>#VALUE!</v>
      </c>
      <c r="O106" s="305" t="e">
        <f t="shared" si="25"/>
        <v>#VALUE!</v>
      </c>
      <c r="P106" s="305" t="e">
        <f t="shared" si="25"/>
        <v>#VALUE!</v>
      </c>
      <c r="Q106" s="305" t="e">
        <f t="shared" si="25"/>
        <v>#VALUE!</v>
      </c>
      <c r="R106" s="305" t="e">
        <f t="shared" si="25"/>
        <v>#VALUE!</v>
      </c>
      <c r="S106" s="305" t="e">
        <f t="shared" si="25"/>
        <v>#VALUE!</v>
      </c>
      <c r="T106" s="305" t="e">
        <f t="shared" si="25"/>
        <v>#VALUE!</v>
      </c>
      <c r="U106" s="305" t="e">
        <f t="shared" si="25"/>
        <v>#VALUE!</v>
      </c>
      <c r="V106" s="305" t="e">
        <f t="shared" si="25"/>
        <v>#VALUE!</v>
      </c>
      <c r="W106" s="305" t="e">
        <f t="shared" si="25"/>
        <v>#VALUE!</v>
      </c>
      <c r="X106" s="305" t="e">
        <f>X105</f>
        <v>#VALUE!</v>
      </c>
      <c r="Y106" s="308" t="e">
        <f>Y81/8</f>
        <v>#VALUE!</v>
      </c>
      <c r="Z106" s="305"/>
      <c r="AA106" s="305"/>
      <c r="AB106" s="305"/>
      <c r="AC106" s="305"/>
      <c r="AD106" s="305"/>
      <c r="AE106" s="305"/>
      <c r="AF106" s="305"/>
      <c r="AG106" s="305"/>
      <c r="AH106" s="310" t="e">
        <f t="shared" si="22"/>
        <v>#VALUE!</v>
      </c>
    </row>
    <row r="107" spans="3:34">
      <c r="C107" s="307">
        <f t="shared" si="23"/>
        <v>24</v>
      </c>
      <c r="D107" s="305"/>
      <c r="E107" s="305"/>
      <c r="F107" s="305"/>
      <c r="G107" s="305" t="e">
        <f t="shared" si="25"/>
        <v>#VALUE!</v>
      </c>
      <c r="H107" s="305" t="e">
        <f t="shared" si="25"/>
        <v>#VALUE!</v>
      </c>
      <c r="I107" s="305" t="e">
        <f t="shared" si="25"/>
        <v>#VALUE!</v>
      </c>
      <c r="J107" s="305" t="e">
        <f t="shared" si="25"/>
        <v>#VALUE!</v>
      </c>
      <c r="K107" s="305" t="e">
        <f t="shared" si="25"/>
        <v>#VALUE!</v>
      </c>
      <c r="L107" s="305" t="e">
        <f t="shared" si="25"/>
        <v>#VALUE!</v>
      </c>
      <c r="M107" s="305" t="e">
        <f t="shared" si="25"/>
        <v>#VALUE!</v>
      </c>
      <c r="N107" s="305" t="e">
        <f t="shared" si="25"/>
        <v>#VALUE!</v>
      </c>
      <c r="O107" s="305" t="e">
        <f t="shared" si="25"/>
        <v>#VALUE!</v>
      </c>
      <c r="P107" s="305" t="e">
        <f t="shared" si="25"/>
        <v>#VALUE!</v>
      </c>
      <c r="Q107" s="305" t="e">
        <f t="shared" si="25"/>
        <v>#VALUE!</v>
      </c>
      <c r="R107" s="305" t="e">
        <f t="shared" si="25"/>
        <v>#VALUE!</v>
      </c>
      <c r="S107" s="305" t="e">
        <f t="shared" si="25"/>
        <v>#VALUE!</v>
      </c>
      <c r="T107" s="305" t="e">
        <f t="shared" si="25"/>
        <v>#VALUE!</v>
      </c>
      <c r="U107" s="305" t="e">
        <f t="shared" si="25"/>
        <v>#VALUE!</v>
      </c>
      <c r="V107" s="305" t="e">
        <f t="shared" si="25"/>
        <v>#VALUE!</v>
      </c>
      <c r="W107" s="305" t="e">
        <f t="shared" si="25"/>
        <v>#VALUE!</v>
      </c>
      <c r="X107" s="305" t="e">
        <f t="shared" si="25"/>
        <v>#VALUE!</v>
      </c>
      <c r="Y107" s="305" t="e">
        <f>Y106</f>
        <v>#VALUE!</v>
      </c>
      <c r="Z107" s="308" t="e">
        <f>Z81/7</f>
        <v>#VALUE!</v>
      </c>
      <c r="AA107" s="305"/>
      <c r="AB107" s="305"/>
      <c r="AC107" s="305"/>
      <c r="AD107" s="305"/>
      <c r="AE107" s="305"/>
      <c r="AF107" s="305"/>
      <c r="AG107" s="305"/>
      <c r="AH107" s="310" t="e">
        <f t="shared" si="22"/>
        <v>#VALUE!</v>
      </c>
    </row>
    <row r="108" spans="3:34">
      <c r="C108" s="307">
        <f t="shared" si="23"/>
        <v>25</v>
      </c>
      <c r="D108" s="305"/>
      <c r="E108" s="305"/>
      <c r="F108" s="305"/>
      <c r="G108" s="305"/>
      <c r="H108" s="305" t="e">
        <f t="shared" si="25"/>
        <v>#VALUE!</v>
      </c>
      <c r="I108" s="305" t="e">
        <f t="shared" si="25"/>
        <v>#VALUE!</v>
      </c>
      <c r="J108" s="305" t="e">
        <f t="shared" si="25"/>
        <v>#VALUE!</v>
      </c>
      <c r="K108" s="305" t="e">
        <f t="shared" si="25"/>
        <v>#VALUE!</v>
      </c>
      <c r="L108" s="305" t="e">
        <f t="shared" si="25"/>
        <v>#VALUE!</v>
      </c>
      <c r="M108" s="305" t="e">
        <f t="shared" si="25"/>
        <v>#VALUE!</v>
      </c>
      <c r="N108" s="305" t="e">
        <f t="shared" si="25"/>
        <v>#VALUE!</v>
      </c>
      <c r="O108" s="305" t="e">
        <f t="shared" si="25"/>
        <v>#VALUE!</v>
      </c>
      <c r="P108" s="305" t="e">
        <f t="shared" si="25"/>
        <v>#VALUE!</v>
      </c>
      <c r="Q108" s="305" t="e">
        <f t="shared" si="25"/>
        <v>#VALUE!</v>
      </c>
      <c r="R108" s="305" t="e">
        <f t="shared" si="25"/>
        <v>#VALUE!</v>
      </c>
      <c r="S108" s="305" t="e">
        <f t="shared" si="25"/>
        <v>#VALUE!</v>
      </c>
      <c r="T108" s="305" t="e">
        <f t="shared" si="25"/>
        <v>#VALUE!</v>
      </c>
      <c r="U108" s="305" t="e">
        <f t="shared" si="25"/>
        <v>#VALUE!</v>
      </c>
      <c r="V108" s="305" t="e">
        <f t="shared" si="25"/>
        <v>#VALUE!</v>
      </c>
      <c r="W108" s="305" t="e">
        <f t="shared" si="25"/>
        <v>#VALUE!</v>
      </c>
      <c r="X108" s="305" t="e">
        <f t="shared" si="25"/>
        <v>#VALUE!</v>
      </c>
      <c r="Y108" s="305" t="e">
        <f t="shared" si="25"/>
        <v>#VALUE!</v>
      </c>
      <c r="Z108" s="305" t="e">
        <f t="shared" si="25"/>
        <v>#VALUE!</v>
      </c>
      <c r="AA108" s="308" t="e">
        <f>AA81/6</f>
        <v>#VALUE!</v>
      </c>
      <c r="AB108" s="305"/>
      <c r="AC108" s="305"/>
      <c r="AD108" s="305"/>
      <c r="AE108" s="305"/>
      <c r="AF108" s="305"/>
      <c r="AG108" s="305"/>
      <c r="AH108" s="310" t="e">
        <f t="shared" si="22"/>
        <v>#VALUE!</v>
      </c>
    </row>
    <row r="109" spans="3:34">
      <c r="C109" s="307">
        <f t="shared" si="23"/>
        <v>26</v>
      </c>
      <c r="D109" s="305"/>
      <c r="E109" s="305"/>
      <c r="F109" s="305"/>
      <c r="G109" s="305"/>
      <c r="H109" s="305"/>
      <c r="I109" s="305" t="e">
        <f t="shared" si="25"/>
        <v>#VALUE!</v>
      </c>
      <c r="J109" s="305" t="e">
        <f t="shared" si="25"/>
        <v>#VALUE!</v>
      </c>
      <c r="K109" s="305" t="e">
        <f t="shared" si="25"/>
        <v>#VALUE!</v>
      </c>
      <c r="L109" s="305" t="e">
        <f t="shared" si="25"/>
        <v>#VALUE!</v>
      </c>
      <c r="M109" s="305" t="e">
        <f t="shared" si="25"/>
        <v>#VALUE!</v>
      </c>
      <c r="N109" s="305" t="e">
        <f t="shared" si="25"/>
        <v>#VALUE!</v>
      </c>
      <c r="O109" s="305" t="e">
        <f t="shared" si="25"/>
        <v>#VALUE!</v>
      </c>
      <c r="P109" s="305" t="e">
        <f t="shared" si="25"/>
        <v>#VALUE!</v>
      </c>
      <c r="Q109" s="305" t="e">
        <f t="shared" si="25"/>
        <v>#VALUE!</v>
      </c>
      <c r="R109" s="305" t="e">
        <f t="shared" si="25"/>
        <v>#VALUE!</v>
      </c>
      <c r="S109" s="305" t="e">
        <f t="shared" si="25"/>
        <v>#VALUE!</v>
      </c>
      <c r="T109" s="305" t="e">
        <f t="shared" si="25"/>
        <v>#VALUE!</v>
      </c>
      <c r="U109" s="305" t="e">
        <f t="shared" si="25"/>
        <v>#VALUE!</v>
      </c>
      <c r="V109" s="305" t="e">
        <f t="shared" si="25"/>
        <v>#VALUE!</v>
      </c>
      <c r="W109" s="305" t="e">
        <f t="shared" si="25"/>
        <v>#VALUE!</v>
      </c>
      <c r="X109" s="305" t="e">
        <f t="shared" si="25"/>
        <v>#VALUE!</v>
      </c>
      <c r="Y109" s="305" t="e">
        <f t="shared" si="25"/>
        <v>#VALUE!</v>
      </c>
      <c r="Z109" s="305" t="e">
        <f t="shared" si="25"/>
        <v>#VALUE!</v>
      </c>
      <c r="AA109" s="305" t="e">
        <f>AA108</f>
        <v>#VALUE!</v>
      </c>
      <c r="AB109" s="308" t="e">
        <f>AB81/5</f>
        <v>#VALUE!</v>
      </c>
      <c r="AC109" s="305"/>
      <c r="AD109" s="305"/>
      <c r="AE109" s="305"/>
      <c r="AF109" s="305"/>
      <c r="AG109" s="305"/>
      <c r="AH109" s="310" t="e">
        <f t="shared" si="22"/>
        <v>#VALUE!</v>
      </c>
    </row>
    <row r="110" spans="3:34">
      <c r="C110" s="307">
        <f t="shared" si="23"/>
        <v>27</v>
      </c>
      <c r="D110" s="305"/>
      <c r="E110" s="305"/>
      <c r="F110" s="305"/>
      <c r="G110" s="305"/>
      <c r="H110" s="305"/>
      <c r="I110" s="305"/>
      <c r="J110" s="305" t="e">
        <f t="shared" si="25"/>
        <v>#VALUE!</v>
      </c>
      <c r="K110" s="305" t="e">
        <f t="shared" si="25"/>
        <v>#VALUE!</v>
      </c>
      <c r="L110" s="305" t="e">
        <f t="shared" si="25"/>
        <v>#VALUE!</v>
      </c>
      <c r="M110" s="305" t="e">
        <f t="shared" si="25"/>
        <v>#VALUE!</v>
      </c>
      <c r="N110" s="305" t="e">
        <f t="shared" si="25"/>
        <v>#VALUE!</v>
      </c>
      <c r="O110" s="305" t="e">
        <f t="shared" si="25"/>
        <v>#VALUE!</v>
      </c>
      <c r="P110" s="305" t="e">
        <f t="shared" si="25"/>
        <v>#VALUE!</v>
      </c>
      <c r="Q110" s="305" t="e">
        <f t="shared" si="25"/>
        <v>#VALUE!</v>
      </c>
      <c r="R110" s="305" t="e">
        <f t="shared" si="25"/>
        <v>#VALUE!</v>
      </c>
      <c r="S110" s="305" t="e">
        <f t="shared" si="25"/>
        <v>#VALUE!</v>
      </c>
      <c r="T110" s="305" t="e">
        <f t="shared" si="25"/>
        <v>#VALUE!</v>
      </c>
      <c r="U110" s="305" t="e">
        <f t="shared" si="25"/>
        <v>#VALUE!</v>
      </c>
      <c r="V110" s="305" t="e">
        <f t="shared" si="25"/>
        <v>#VALUE!</v>
      </c>
      <c r="W110" s="305" t="e">
        <f t="shared" si="25"/>
        <v>#VALUE!</v>
      </c>
      <c r="X110" s="305" t="e">
        <f t="shared" si="25"/>
        <v>#VALUE!</v>
      </c>
      <c r="Y110" s="305" t="e">
        <f t="shared" si="25"/>
        <v>#VALUE!</v>
      </c>
      <c r="Z110" s="305" t="e">
        <f t="shared" si="25"/>
        <v>#VALUE!</v>
      </c>
      <c r="AA110" s="305" t="e">
        <f>AA109</f>
        <v>#VALUE!</v>
      </c>
      <c r="AB110" s="305" t="e">
        <f>AB109</f>
        <v>#VALUE!</v>
      </c>
      <c r="AC110" s="308" t="e">
        <f>AC81/4</f>
        <v>#VALUE!</v>
      </c>
      <c r="AD110" s="305"/>
      <c r="AE110" s="305"/>
      <c r="AF110" s="305"/>
      <c r="AG110" s="305"/>
      <c r="AH110" s="310" t="e">
        <f t="shared" si="22"/>
        <v>#VALUE!</v>
      </c>
    </row>
    <row r="111" spans="3:34">
      <c r="C111" s="307">
        <f t="shared" si="23"/>
        <v>28</v>
      </c>
      <c r="D111" s="305"/>
      <c r="E111" s="305"/>
      <c r="F111" s="305"/>
      <c r="G111" s="305"/>
      <c r="H111" s="305"/>
      <c r="I111" s="305"/>
      <c r="J111" s="305"/>
      <c r="K111" s="305" t="e">
        <f t="shared" si="25"/>
        <v>#VALUE!</v>
      </c>
      <c r="L111" s="305" t="e">
        <f t="shared" si="25"/>
        <v>#VALUE!</v>
      </c>
      <c r="M111" s="305" t="e">
        <f t="shared" si="25"/>
        <v>#VALUE!</v>
      </c>
      <c r="N111" s="305" t="e">
        <f t="shared" si="25"/>
        <v>#VALUE!</v>
      </c>
      <c r="O111" s="305" t="e">
        <f t="shared" si="25"/>
        <v>#VALUE!</v>
      </c>
      <c r="P111" s="305" t="e">
        <f t="shared" si="25"/>
        <v>#VALUE!</v>
      </c>
      <c r="Q111" s="305" t="e">
        <f t="shared" si="25"/>
        <v>#VALUE!</v>
      </c>
      <c r="R111" s="305" t="e">
        <f t="shared" si="25"/>
        <v>#VALUE!</v>
      </c>
      <c r="S111" s="305" t="e">
        <f t="shared" si="25"/>
        <v>#VALUE!</v>
      </c>
      <c r="T111" s="305" t="e">
        <f t="shared" si="25"/>
        <v>#VALUE!</v>
      </c>
      <c r="U111" s="305" t="e">
        <f t="shared" si="25"/>
        <v>#VALUE!</v>
      </c>
      <c r="V111" s="305" t="e">
        <f t="shared" si="25"/>
        <v>#VALUE!</v>
      </c>
      <c r="W111" s="305" t="e">
        <f t="shared" si="25"/>
        <v>#VALUE!</v>
      </c>
      <c r="X111" s="305" t="e">
        <f t="shared" si="25"/>
        <v>#VALUE!</v>
      </c>
      <c r="Y111" s="305" t="e">
        <f t="shared" si="25"/>
        <v>#VALUE!</v>
      </c>
      <c r="Z111" s="305" t="e">
        <f t="shared" si="25"/>
        <v>#VALUE!</v>
      </c>
      <c r="AA111" s="305" t="e">
        <f>AA110</f>
        <v>#VALUE!</v>
      </c>
      <c r="AB111" s="305" t="e">
        <f>AB110</f>
        <v>#VALUE!</v>
      </c>
      <c r="AC111" s="305" t="e">
        <f>AC110</f>
        <v>#VALUE!</v>
      </c>
      <c r="AD111" s="308" t="e">
        <f>AD81/3</f>
        <v>#VALUE!</v>
      </c>
      <c r="AE111" s="305"/>
      <c r="AF111" s="305"/>
      <c r="AG111" s="305"/>
      <c r="AH111" s="310" t="e">
        <f t="shared" si="22"/>
        <v>#VALUE!</v>
      </c>
    </row>
    <row r="112" spans="3:34">
      <c r="C112" s="307">
        <f t="shared" si="23"/>
        <v>29</v>
      </c>
      <c r="D112" s="305"/>
      <c r="E112" s="305"/>
      <c r="F112" s="305"/>
      <c r="G112" s="305"/>
      <c r="H112" s="305"/>
      <c r="I112" s="305"/>
      <c r="J112" s="305"/>
      <c r="K112" s="305"/>
      <c r="L112" s="305" t="e">
        <f t="shared" si="25"/>
        <v>#VALUE!</v>
      </c>
      <c r="M112" s="305" t="e">
        <f t="shared" si="25"/>
        <v>#VALUE!</v>
      </c>
      <c r="N112" s="305" t="e">
        <f t="shared" si="25"/>
        <v>#VALUE!</v>
      </c>
      <c r="O112" s="305" t="e">
        <f t="shared" si="25"/>
        <v>#VALUE!</v>
      </c>
      <c r="P112" s="305" t="e">
        <f t="shared" si="25"/>
        <v>#VALUE!</v>
      </c>
      <c r="Q112" s="305" t="e">
        <f t="shared" si="25"/>
        <v>#VALUE!</v>
      </c>
      <c r="R112" s="305" t="e">
        <f t="shared" si="25"/>
        <v>#VALUE!</v>
      </c>
      <c r="S112" s="305" t="e">
        <f t="shared" si="25"/>
        <v>#VALUE!</v>
      </c>
      <c r="T112" s="305" t="e">
        <f t="shared" si="25"/>
        <v>#VALUE!</v>
      </c>
      <c r="U112" s="305" t="e">
        <f t="shared" si="25"/>
        <v>#VALUE!</v>
      </c>
      <c r="V112" s="305" t="e">
        <f t="shared" si="25"/>
        <v>#VALUE!</v>
      </c>
      <c r="W112" s="305" t="e">
        <f t="shared" si="25"/>
        <v>#VALUE!</v>
      </c>
      <c r="X112" s="305" t="e">
        <f t="shared" si="25"/>
        <v>#VALUE!</v>
      </c>
      <c r="Y112" s="305" t="e">
        <f t="shared" si="25"/>
        <v>#VALUE!</v>
      </c>
      <c r="Z112" s="305" t="e">
        <f t="shared" si="25"/>
        <v>#VALUE!</v>
      </c>
      <c r="AA112" s="305" t="e">
        <f>AA111</f>
        <v>#VALUE!</v>
      </c>
      <c r="AB112" s="305" t="e">
        <f>AB111</f>
        <v>#VALUE!</v>
      </c>
      <c r="AC112" s="305" t="e">
        <f>AC111</f>
        <v>#VALUE!</v>
      </c>
      <c r="AD112" s="305" t="e">
        <f>AD111</f>
        <v>#VALUE!</v>
      </c>
      <c r="AE112" s="308" t="e">
        <f>AE81/2</f>
        <v>#VALUE!</v>
      </c>
      <c r="AF112" s="305"/>
      <c r="AG112" s="305"/>
      <c r="AH112" s="310" t="e">
        <f t="shared" si="22"/>
        <v>#VALUE!</v>
      </c>
    </row>
    <row r="113" spans="1:34" ht="13.5" thickBot="1">
      <c r="C113" s="307">
        <f t="shared" si="23"/>
        <v>30</v>
      </c>
      <c r="D113" s="305"/>
      <c r="E113" s="305"/>
      <c r="F113" s="305"/>
      <c r="G113" s="305"/>
      <c r="H113" s="305"/>
      <c r="I113" s="305"/>
      <c r="J113" s="305"/>
      <c r="K113" s="305"/>
      <c r="L113" s="305"/>
      <c r="M113" s="305" t="e">
        <f t="shared" si="25"/>
        <v>#VALUE!</v>
      </c>
      <c r="N113" s="305" t="e">
        <f t="shared" si="25"/>
        <v>#VALUE!</v>
      </c>
      <c r="O113" s="305" t="e">
        <f t="shared" si="25"/>
        <v>#VALUE!</v>
      </c>
      <c r="P113" s="305" t="e">
        <f t="shared" si="25"/>
        <v>#VALUE!</v>
      </c>
      <c r="Q113" s="305" t="e">
        <f t="shared" si="25"/>
        <v>#VALUE!</v>
      </c>
      <c r="R113" s="305" t="e">
        <f t="shared" si="25"/>
        <v>#VALUE!</v>
      </c>
      <c r="S113" s="305" t="e">
        <f t="shared" si="25"/>
        <v>#VALUE!</v>
      </c>
      <c r="T113" s="305" t="e">
        <f t="shared" si="25"/>
        <v>#VALUE!</v>
      </c>
      <c r="U113" s="305" t="e">
        <f t="shared" si="25"/>
        <v>#VALUE!</v>
      </c>
      <c r="V113" s="305" t="e">
        <f t="shared" si="25"/>
        <v>#VALUE!</v>
      </c>
      <c r="W113" s="305" t="e">
        <f t="shared" si="25"/>
        <v>#VALUE!</v>
      </c>
      <c r="X113" s="305" t="e">
        <f t="shared" si="25"/>
        <v>#VALUE!</v>
      </c>
      <c r="Y113" s="305" t="e">
        <f t="shared" si="25"/>
        <v>#VALUE!</v>
      </c>
      <c r="Z113" s="305" t="e">
        <f t="shared" si="25"/>
        <v>#VALUE!</v>
      </c>
      <c r="AA113" s="305" t="e">
        <f>AA112</f>
        <v>#VALUE!</v>
      </c>
      <c r="AB113" s="305" t="e">
        <f>AB112</f>
        <v>#VALUE!</v>
      </c>
      <c r="AC113" s="305" t="e">
        <f>AC112</f>
        <v>#VALUE!</v>
      </c>
      <c r="AD113" s="305" t="e">
        <f>AD112</f>
        <v>#VALUE!</v>
      </c>
      <c r="AE113" s="305" t="e">
        <f>AE112</f>
        <v>#VALUE!</v>
      </c>
      <c r="AF113" s="327" t="e">
        <f>AF81</f>
        <v>#VALUE!</v>
      </c>
      <c r="AG113" s="327" t="e">
        <f>AG81</f>
        <v>#VALUE!</v>
      </c>
      <c r="AH113" s="310" t="e">
        <f t="shared" si="22"/>
        <v>#VALUE!</v>
      </c>
    </row>
    <row r="114" spans="1:34" ht="14.25" thickTop="1" thickBot="1">
      <c r="C114" s="311" t="s">
        <v>0</v>
      </c>
      <c r="D114" s="328" t="e">
        <f t="shared" ref="D114:AH114" si="26">SUM(D83:D113)</f>
        <v>#VALUE!</v>
      </c>
      <c r="E114" s="328" t="e">
        <f t="shared" si="26"/>
        <v>#VALUE!</v>
      </c>
      <c r="F114" s="328" t="e">
        <f t="shared" si="26"/>
        <v>#VALUE!</v>
      </c>
      <c r="G114" s="328" t="e">
        <f t="shared" si="26"/>
        <v>#VALUE!</v>
      </c>
      <c r="H114" s="328" t="e">
        <f t="shared" si="26"/>
        <v>#VALUE!</v>
      </c>
      <c r="I114" s="328" t="e">
        <f t="shared" si="26"/>
        <v>#VALUE!</v>
      </c>
      <c r="J114" s="328" t="e">
        <f t="shared" si="26"/>
        <v>#VALUE!</v>
      </c>
      <c r="K114" s="328" t="e">
        <f t="shared" si="26"/>
        <v>#VALUE!</v>
      </c>
      <c r="L114" s="328" t="e">
        <f t="shared" si="26"/>
        <v>#VALUE!</v>
      </c>
      <c r="M114" s="328" t="e">
        <f t="shared" si="26"/>
        <v>#VALUE!</v>
      </c>
      <c r="N114" s="328" t="e">
        <f t="shared" si="26"/>
        <v>#VALUE!</v>
      </c>
      <c r="O114" s="328" t="e">
        <f t="shared" si="26"/>
        <v>#VALUE!</v>
      </c>
      <c r="P114" s="328" t="e">
        <f t="shared" si="26"/>
        <v>#VALUE!</v>
      </c>
      <c r="Q114" s="328" t="e">
        <f t="shared" si="26"/>
        <v>#VALUE!</v>
      </c>
      <c r="R114" s="328" t="e">
        <f t="shared" si="26"/>
        <v>#VALUE!</v>
      </c>
      <c r="S114" s="328" t="e">
        <f t="shared" si="26"/>
        <v>#VALUE!</v>
      </c>
      <c r="T114" s="328" t="e">
        <f t="shared" si="26"/>
        <v>#VALUE!</v>
      </c>
      <c r="U114" s="328" t="e">
        <f t="shared" si="26"/>
        <v>#VALUE!</v>
      </c>
      <c r="V114" s="328" t="e">
        <f t="shared" si="26"/>
        <v>#VALUE!</v>
      </c>
      <c r="W114" s="328" t="e">
        <f t="shared" si="26"/>
        <v>#VALUE!</v>
      </c>
      <c r="X114" s="328" t="e">
        <f t="shared" si="26"/>
        <v>#VALUE!</v>
      </c>
      <c r="Y114" s="328" t="e">
        <f t="shared" si="26"/>
        <v>#VALUE!</v>
      </c>
      <c r="Z114" s="328" t="e">
        <f t="shared" si="26"/>
        <v>#VALUE!</v>
      </c>
      <c r="AA114" s="328" t="e">
        <f t="shared" si="26"/>
        <v>#VALUE!</v>
      </c>
      <c r="AB114" s="328" t="e">
        <f t="shared" si="26"/>
        <v>#VALUE!</v>
      </c>
      <c r="AC114" s="328" t="e">
        <f t="shared" si="26"/>
        <v>#VALUE!</v>
      </c>
      <c r="AD114" s="328" t="e">
        <f t="shared" si="26"/>
        <v>#VALUE!</v>
      </c>
      <c r="AE114" s="328" t="e">
        <f t="shared" si="26"/>
        <v>#VALUE!</v>
      </c>
      <c r="AF114" s="329" t="e">
        <f t="shared" si="26"/>
        <v>#VALUE!</v>
      </c>
      <c r="AG114" s="329" t="e">
        <f t="shared" si="26"/>
        <v>#VALUE!</v>
      </c>
      <c r="AH114" s="315" t="e">
        <f t="shared" si="26"/>
        <v>#VALUE!</v>
      </c>
    </row>
    <row r="116" spans="1:34" ht="13.5" thickBot="1"/>
    <row r="117" spans="1:34">
      <c r="A117" s="292">
        <v>0</v>
      </c>
      <c r="B117" s="13" t="e">
        <v>#VALUE!</v>
      </c>
      <c r="C117" s="293" t="s">
        <v>257</v>
      </c>
      <c r="D117" s="294"/>
      <c r="E117" s="295">
        <v>15</v>
      </c>
      <c r="F117" s="294"/>
      <c r="G117" s="294"/>
      <c r="H117" s="294"/>
      <c r="I117" s="294"/>
      <c r="J117" s="294"/>
      <c r="K117" s="294"/>
      <c r="L117" s="294"/>
      <c r="M117" s="294"/>
      <c r="N117" s="294"/>
      <c r="O117" s="294"/>
      <c r="P117" s="294"/>
      <c r="Q117" s="294"/>
      <c r="R117" s="294"/>
      <c r="S117" s="294"/>
      <c r="T117" s="294"/>
      <c r="U117" s="294"/>
      <c r="V117" s="294"/>
      <c r="W117" s="294"/>
      <c r="X117" s="294"/>
      <c r="Y117" s="294"/>
      <c r="Z117" s="294"/>
      <c r="AA117" s="294"/>
      <c r="AB117" s="294"/>
      <c r="AC117" s="294"/>
      <c r="AD117" s="294"/>
      <c r="AE117" s="294"/>
      <c r="AF117" s="294"/>
      <c r="AG117" s="294"/>
      <c r="AH117" s="296"/>
    </row>
    <row r="118" spans="1:34">
      <c r="A118" s="297">
        <v>0</v>
      </c>
      <c r="B118" s="15" t="e">
        <f>AH118</f>
        <v>#VALUE!</v>
      </c>
      <c r="C118" s="298" t="s">
        <v>256</v>
      </c>
      <c r="D118" s="299" t="e">
        <v>#VALUE!</v>
      </c>
      <c r="E118" s="299" t="e">
        <v>#VALUE!</v>
      </c>
      <c r="F118" s="299" t="e">
        <v>#VALUE!</v>
      </c>
      <c r="G118" s="299" t="e">
        <v>#VALUE!</v>
      </c>
      <c r="H118" s="299" t="e">
        <v>#VALUE!</v>
      </c>
      <c r="I118" s="299" t="e">
        <v>#VALUE!</v>
      </c>
      <c r="J118" s="299" t="e">
        <v>#VALUE!</v>
      </c>
      <c r="K118" s="299" t="e">
        <v>#VALUE!</v>
      </c>
      <c r="L118" s="299" t="e">
        <v>#VALUE!</v>
      </c>
      <c r="M118" s="299" t="e">
        <v>#VALUE!</v>
      </c>
      <c r="N118" s="299" t="e">
        <v>#VALUE!</v>
      </c>
      <c r="O118" s="299" t="e">
        <v>#VALUE!</v>
      </c>
      <c r="P118" s="299" t="e">
        <v>#VALUE!</v>
      </c>
      <c r="Q118" s="299" t="e">
        <v>#VALUE!</v>
      </c>
      <c r="R118" s="299" t="e">
        <v>#VALUE!</v>
      </c>
      <c r="S118" s="299" t="e">
        <v>#VALUE!</v>
      </c>
      <c r="T118" s="299" t="e">
        <v>#VALUE!</v>
      </c>
      <c r="U118" s="299" t="e">
        <v>#VALUE!</v>
      </c>
      <c r="V118" s="299" t="e">
        <v>#VALUE!</v>
      </c>
      <c r="W118" s="299" t="e">
        <v>#VALUE!</v>
      </c>
      <c r="X118" s="299" t="e">
        <v>#VALUE!</v>
      </c>
      <c r="Y118" s="299" t="e">
        <v>#VALUE!</v>
      </c>
      <c r="Z118" s="299" t="e">
        <v>#VALUE!</v>
      </c>
      <c r="AA118" s="299" t="e">
        <v>#VALUE!</v>
      </c>
      <c r="AB118" s="299" t="e">
        <v>#VALUE!</v>
      </c>
      <c r="AC118" s="299" t="e">
        <v>#VALUE!</v>
      </c>
      <c r="AD118" s="299" t="e">
        <v>#VALUE!</v>
      </c>
      <c r="AE118" s="299" t="e">
        <v>#VALUE!</v>
      </c>
      <c r="AF118" s="299" t="e">
        <v>#VALUE!</v>
      </c>
      <c r="AG118" s="299" t="e">
        <v>#VALUE!</v>
      </c>
      <c r="AH118" s="300" t="e">
        <f>SUM(D118:AG118)</f>
        <v>#VALUE!</v>
      </c>
    </row>
    <row r="119" spans="1:34">
      <c r="C119" s="301" t="s">
        <v>1</v>
      </c>
      <c r="D119" s="302">
        <v>1</v>
      </c>
      <c r="E119" s="302">
        <f t="shared" ref="E119:AG119" si="27">D119+1</f>
        <v>2</v>
      </c>
      <c r="F119" s="302">
        <f t="shared" si="27"/>
        <v>3</v>
      </c>
      <c r="G119" s="302">
        <f t="shared" si="27"/>
        <v>4</v>
      </c>
      <c r="H119" s="302">
        <f t="shared" si="27"/>
        <v>5</v>
      </c>
      <c r="I119" s="302">
        <f t="shared" si="27"/>
        <v>6</v>
      </c>
      <c r="J119" s="302">
        <f t="shared" si="27"/>
        <v>7</v>
      </c>
      <c r="K119" s="302">
        <f t="shared" si="27"/>
        <v>8</v>
      </c>
      <c r="L119" s="302">
        <f t="shared" si="27"/>
        <v>9</v>
      </c>
      <c r="M119" s="302">
        <f t="shared" si="27"/>
        <v>10</v>
      </c>
      <c r="N119" s="302">
        <f t="shared" si="27"/>
        <v>11</v>
      </c>
      <c r="O119" s="302">
        <f t="shared" si="27"/>
        <v>12</v>
      </c>
      <c r="P119" s="302">
        <f t="shared" si="27"/>
        <v>13</v>
      </c>
      <c r="Q119" s="302">
        <f t="shared" si="27"/>
        <v>14</v>
      </c>
      <c r="R119" s="302">
        <f t="shared" si="27"/>
        <v>15</v>
      </c>
      <c r="S119" s="302">
        <f t="shared" si="27"/>
        <v>16</v>
      </c>
      <c r="T119" s="302">
        <f t="shared" si="27"/>
        <v>17</v>
      </c>
      <c r="U119" s="302">
        <f t="shared" si="27"/>
        <v>18</v>
      </c>
      <c r="V119" s="302">
        <f t="shared" si="27"/>
        <v>19</v>
      </c>
      <c r="W119" s="302">
        <f t="shared" si="27"/>
        <v>20</v>
      </c>
      <c r="X119" s="302">
        <f t="shared" si="27"/>
        <v>21</v>
      </c>
      <c r="Y119" s="302">
        <f t="shared" si="27"/>
        <v>22</v>
      </c>
      <c r="Z119" s="302">
        <f t="shared" si="27"/>
        <v>23</v>
      </c>
      <c r="AA119" s="302">
        <f t="shared" si="27"/>
        <v>24</v>
      </c>
      <c r="AB119" s="302">
        <f t="shared" si="27"/>
        <v>25</v>
      </c>
      <c r="AC119" s="302">
        <f t="shared" si="27"/>
        <v>26</v>
      </c>
      <c r="AD119" s="302">
        <f t="shared" si="27"/>
        <v>27</v>
      </c>
      <c r="AE119" s="302">
        <f t="shared" si="27"/>
        <v>28</v>
      </c>
      <c r="AF119" s="302">
        <f t="shared" si="27"/>
        <v>29</v>
      </c>
      <c r="AG119" s="302">
        <f t="shared" si="27"/>
        <v>30</v>
      </c>
      <c r="AH119" s="303" t="s">
        <v>0</v>
      </c>
    </row>
    <row r="120" spans="1:34">
      <c r="C120" s="304">
        <v>0</v>
      </c>
      <c r="D120" s="305"/>
      <c r="E120" s="305"/>
      <c r="F120" s="305"/>
      <c r="G120" s="305"/>
      <c r="H120" s="305"/>
      <c r="I120" s="305"/>
      <c r="J120" s="305"/>
      <c r="K120" s="305"/>
      <c r="L120" s="305"/>
      <c r="M120" s="305"/>
      <c r="N120" s="305"/>
      <c r="O120" s="305"/>
      <c r="P120" s="305"/>
      <c r="Q120" s="305"/>
      <c r="R120" s="305"/>
      <c r="S120" s="305"/>
      <c r="T120" s="305"/>
      <c r="U120" s="305"/>
      <c r="V120" s="305"/>
      <c r="W120" s="305"/>
      <c r="X120" s="305"/>
      <c r="Y120" s="305"/>
      <c r="Z120" s="305"/>
      <c r="AA120" s="305"/>
      <c r="AB120" s="305"/>
      <c r="AC120" s="305"/>
      <c r="AD120" s="305"/>
      <c r="AE120" s="305"/>
      <c r="AF120" s="305"/>
      <c r="AG120" s="305"/>
      <c r="AH120" s="306">
        <f t="shared" ref="AH120:AH150" si="28">SUM(D120:AG120)</f>
        <v>0</v>
      </c>
    </row>
    <row r="121" spans="1:34">
      <c r="C121" s="304">
        <f t="shared" ref="C121:C150" si="29">1+C120</f>
        <v>1</v>
      </c>
      <c r="D121" s="305"/>
      <c r="E121" s="305"/>
      <c r="F121" s="305"/>
      <c r="G121" s="305"/>
      <c r="H121" s="305"/>
      <c r="I121" s="305"/>
      <c r="J121" s="305"/>
      <c r="K121" s="305"/>
      <c r="L121" s="305"/>
      <c r="M121" s="305"/>
      <c r="N121" s="305"/>
      <c r="O121" s="305"/>
      <c r="P121" s="305"/>
      <c r="Q121" s="305"/>
      <c r="R121" s="305"/>
      <c r="S121" s="305"/>
      <c r="T121" s="305"/>
      <c r="U121" s="305"/>
      <c r="V121" s="305"/>
      <c r="W121" s="305"/>
      <c r="X121" s="305"/>
      <c r="Y121" s="305"/>
      <c r="Z121" s="305"/>
      <c r="AA121" s="305"/>
      <c r="AB121" s="305"/>
      <c r="AC121" s="305"/>
      <c r="AD121" s="305"/>
      <c r="AE121" s="305"/>
      <c r="AF121" s="305"/>
      <c r="AG121" s="305"/>
      <c r="AH121" s="310">
        <f t="shared" si="28"/>
        <v>0</v>
      </c>
    </row>
    <row r="122" spans="1:34">
      <c r="C122" s="304">
        <f t="shared" si="29"/>
        <v>2</v>
      </c>
      <c r="D122" s="308" t="e">
        <f>D$118/15</f>
        <v>#VALUE!</v>
      </c>
      <c r="E122" s="305"/>
      <c r="F122" s="305"/>
      <c r="G122" s="305"/>
      <c r="H122" s="305"/>
      <c r="I122" s="305"/>
      <c r="J122" s="305"/>
      <c r="K122" s="305"/>
      <c r="L122" s="305"/>
      <c r="M122" s="305"/>
      <c r="N122" s="305"/>
      <c r="O122" s="305"/>
      <c r="P122" s="305"/>
      <c r="Q122" s="305"/>
      <c r="R122" s="305"/>
      <c r="S122" s="305"/>
      <c r="T122" s="305"/>
      <c r="U122" s="305"/>
      <c r="V122" s="305"/>
      <c r="W122" s="305"/>
      <c r="X122" s="305"/>
      <c r="Y122" s="305"/>
      <c r="Z122" s="305"/>
      <c r="AA122" s="305"/>
      <c r="AB122" s="305"/>
      <c r="AC122" s="305"/>
      <c r="AD122" s="305"/>
      <c r="AE122" s="305"/>
      <c r="AF122" s="305"/>
      <c r="AG122" s="305"/>
      <c r="AH122" s="310" t="e">
        <f t="shared" si="28"/>
        <v>#VALUE!</v>
      </c>
    </row>
    <row r="123" spans="1:34">
      <c r="C123" s="304">
        <f t="shared" si="29"/>
        <v>3</v>
      </c>
      <c r="D123" s="305" t="e">
        <f>D122</f>
        <v>#VALUE!</v>
      </c>
      <c r="E123" s="308" t="e">
        <f>E$118/15</f>
        <v>#VALUE!</v>
      </c>
      <c r="F123" s="305"/>
      <c r="G123" s="305"/>
      <c r="H123" s="305"/>
      <c r="I123" s="305"/>
      <c r="J123" s="305"/>
      <c r="K123" s="305"/>
      <c r="L123" s="305"/>
      <c r="M123" s="305"/>
      <c r="N123" s="305"/>
      <c r="O123" s="305"/>
      <c r="P123" s="305"/>
      <c r="Q123" s="305"/>
      <c r="R123" s="305"/>
      <c r="S123" s="305"/>
      <c r="T123" s="305"/>
      <c r="U123" s="305"/>
      <c r="V123" s="305"/>
      <c r="W123" s="305"/>
      <c r="X123" s="305"/>
      <c r="Y123" s="305"/>
      <c r="Z123" s="305"/>
      <c r="AA123" s="305"/>
      <c r="AB123" s="305"/>
      <c r="AC123" s="305"/>
      <c r="AD123" s="305"/>
      <c r="AE123" s="305"/>
      <c r="AF123" s="305"/>
      <c r="AG123" s="305"/>
      <c r="AH123" s="310" t="e">
        <f t="shared" si="28"/>
        <v>#VALUE!</v>
      </c>
    </row>
    <row r="124" spans="1:34">
      <c r="C124" s="304">
        <f t="shared" si="29"/>
        <v>4</v>
      </c>
      <c r="D124" s="305" t="e">
        <f>D123</f>
        <v>#VALUE!</v>
      </c>
      <c r="E124" s="305" t="e">
        <f>E123</f>
        <v>#VALUE!</v>
      </c>
      <c r="F124" s="308" t="e">
        <f>F$118/15</f>
        <v>#VALUE!</v>
      </c>
      <c r="G124" s="305"/>
      <c r="H124" s="305"/>
      <c r="I124" s="305"/>
      <c r="J124" s="305"/>
      <c r="K124" s="305"/>
      <c r="L124" s="305"/>
      <c r="M124" s="305"/>
      <c r="N124" s="305"/>
      <c r="O124" s="305"/>
      <c r="P124" s="305"/>
      <c r="Q124" s="305"/>
      <c r="R124" s="305"/>
      <c r="S124" s="305"/>
      <c r="T124" s="305"/>
      <c r="U124" s="305"/>
      <c r="V124" s="305"/>
      <c r="W124" s="305"/>
      <c r="X124" s="305"/>
      <c r="Y124" s="305"/>
      <c r="Z124" s="305"/>
      <c r="AA124" s="305"/>
      <c r="AB124" s="305"/>
      <c r="AC124" s="305"/>
      <c r="AD124" s="305"/>
      <c r="AE124" s="305"/>
      <c r="AF124" s="305"/>
      <c r="AG124" s="305"/>
      <c r="AH124" s="310" t="e">
        <f t="shared" si="28"/>
        <v>#VALUE!</v>
      </c>
    </row>
    <row r="125" spans="1:34">
      <c r="C125" s="304">
        <f t="shared" si="29"/>
        <v>5</v>
      </c>
      <c r="D125" s="305" t="e">
        <f>D124</f>
        <v>#VALUE!</v>
      </c>
      <c r="E125" s="305" t="e">
        <f>E124</f>
        <v>#VALUE!</v>
      </c>
      <c r="F125" s="305" t="e">
        <f>F124</f>
        <v>#VALUE!</v>
      </c>
      <c r="G125" s="308" t="e">
        <f>G$118/15</f>
        <v>#VALUE!</v>
      </c>
      <c r="H125" s="305"/>
      <c r="I125" s="305"/>
      <c r="J125" s="305"/>
      <c r="K125" s="305"/>
      <c r="L125" s="305"/>
      <c r="M125" s="305"/>
      <c r="N125" s="305"/>
      <c r="O125" s="305"/>
      <c r="P125" s="305"/>
      <c r="Q125" s="305"/>
      <c r="R125" s="305"/>
      <c r="S125" s="305"/>
      <c r="T125" s="305"/>
      <c r="U125" s="305"/>
      <c r="V125" s="305"/>
      <c r="W125" s="305"/>
      <c r="X125" s="305"/>
      <c r="Y125" s="305"/>
      <c r="Z125" s="305"/>
      <c r="AA125" s="305"/>
      <c r="AB125" s="305"/>
      <c r="AC125" s="305"/>
      <c r="AD125" s="305"/>
      <c r="AE125" s="305"/>
      <c r="AF125" s="305"/>
      <c r="AG125" s="305"/>
      <c r="AH125" s="310" t="e">
        <f t="shared" si="28"/>
        <v>#VALUE!</v>
      </c>
    </row>
    <row r="126" spans="1:34">
      <c r="C126" s="304">
        <f t="shared" si="29"/>
        <v>6</v>
      </c>
      <c r="D126" s="305" t="e">
        <f>D125</f>
        <v>#VALUE!</v>
      </c>
      <c r="E126" s="305" t="e">
        <f>E125</f>
        <v>#VALUE!</v>
      </c>
      <c r="F126" s="305" t="e">
        <f>F125</f>
        <v>#VALUE!</v>
      </c>
      <c r="G126" s="305" t="e">
        <f>G125</f>
        <v>#VALUE!</v>
      </c>
      <c r="H126" s="308" t="e">
        <f>H$118/15</f>
        <v>#VALUE!</v>
      </c>
      <c r="I126" s="305"/>
      <c r="J126" s="305"/>
      <c r="K126" s="305"/>
      <c r="L126" s="305"/>
      <c r="M126" s="305"/>
      <c r="N126" s="305"/>
      <c r="O126" s="305"/>
      <c r="P126" s="305"/>
      <c r="Q126" s="305"/>
      <c r="R126" s="305"/>
      <c r="S126" s="305"/>
      <c r="T126" s="305"/>
      <c r="U126" s="305"/>
      <c r="V126" s="305"/>
      <c r="W126" s="305"/>
      <c r="X126" s="305"/>
      <c r="Y126" s="305"/>
      <c r="Z126" s="305"/>
      <c r="AA126" s="305"/>
      <c r="AB126" s="305"/>
      <c r="AC126" s="305"/>
      <c r="AD126" s="305"/>
      <c r="AE126" s="305"/>
      <c r="AF126" s="305"/>
      <c r="AG126" s="305"/>
      <c r="AH126" s="310" t="e">
        <f t="shared" si="28"/>
        <v>#VALUE!</v>
      </c>
    </row>
    <row r="127" spans="1:34">
      <c r="C127" s="304">
        <f t="shared" si="29"/>
        <v>7</v>
      </c>
      <c r="D127" s="305" t="e">
        <f>D126</f>
        <v>#VALUE!</v>
      </c>
      <c r="E127" s="305" t="e">
        <f>E126</f>
        <v>#VALUE!</v>
      </c>
      <c r="F127" s="305" t="e">
        <f>F126</f>
        <v>#VALUE!</v>
      </c>
      <c r="G127" s="305" t="e">
        <f>G126</f>
        <v>#VALUE!</v>
      </c>
      <c r="H127" s="305" t="e">
        <f>H126</f>
        <v>#VALUE!</v>
      </c>
      <c r="I127" s="308" t="e">
        <f>I$118/15</f>
        <v>#VALUE!</v>
      </c>
      <c r="J127" s="325"/>
      <c r="K127" s="305"/>
      <c r="L127" s="305"/>
      <c r="M127" s="305"/>
      <c r="N127" s="305"/>
      <c r="O127" s="305"/>
      <c r="P127" s="305"/>
      <c r="Q127" s="305"/>
      <c r="R127" s="305"/>
      <c r="S127" s="305"/>
      <c r="T127" s="305"/>
      <c r="U127" s="305"/>
      <c r="V127" s="305"/>
      <c r="W127" s="305"/>
      <c r="X127" s="305"/>
      <c r="Y127" s="305"/>
      <c r="Z127" s="305"/>
      <c r="AA127" s="305"/>
      <c r="AB127" s="305"/>
      <c r="AC127" s="305"/>
      <c r="AD127" s="305"/>
      <c r="AE127" s="305"/>
      <c r="AF127" s="305"/>
      <c r="AG127" s="305"/>
      <c r="AH127" s="310" t="e">
        <f t="shared" si="28"/>
        <v>#VALUE!</v>
      </c>
    </row>
    <row r="128" spans="1:34">
      <c r="C128" s="304">
        <f t="shared" si="29"/>
        <v>8</v>
      </c>
      <c r="D128" s="305" t="e">
        <f t="shared" ref="D128:O139" si="30">D127</f>
        <v>#VALUE!</v>
      </c>
      <c r="E128" s="305" t="e">
        <f t="shared" si="30"/>
        <v>#VALUE!</v>
      </c>
      <c r="F128" s="305" t="e">
        <f t="shared" si="30"/>
        <v>#VALUE!</v>
      </c>
      <c r="G128" s="305" t="e">
        <f t="shared" si="30"/>
        <v>#VALUE!</v>
      </c>
      <c r="H128" s="305" t="e">
        <f t="shared" si="30"/>
        <v>#VALUE!</v>
      </c>
      <c r="I128" s="305" t="e">
        <f t="shared" si="30"/>
        <v>#VALUE!</v>
      </c>
      <c r="J128" s="308" t="e">
        <f>J$118/15</f>
        <v>#VALUE!</v>
      </c>
      <c r="K128" s="305"/>
      <c r="L128" s="305"/>
      <c r="M128" s="305"/>
      <c r="N128" s="305"/>
      <c r="O128" s="305"/>
      <c r="P128" s="305"/>
      <c r="Q128" s="305"/>
      <c r="R128" s="305"/>
      <c r="S128" s="305"/>
      <c r="T128" s="305"/>
      <c r="U128" s="305"/>
      <c r="V128" s="305"/>
      <c r="W128" s="305"/>
      <c r="X128" s="305"/>
      <c r="Y128" s="305"/>
      <c r="Z128" s="305"/>
      <c r="AA128" s="305"/>
      <c r="AB128" s="305"/>
      <c r="AC128" s="305"/>
      <c r="AD128" s="305"/>
      <c r="AE128" s="305"/>
      <c r="AF128" s="305"/>
      <c r="AG128" s="305"/>
      <c r="AH128" s="310" t="e">
        <f t="shared" si="28"/>
        <v>#VALUE!</v>
      </c>
    </row>
    <row r="129" spans="3:34">
      <c r="C129" s="304">
        <f t="shared" si="29"/>
        <v>9</v>
      </c>
      <c r="D129" s="305" t="e">
        <f t="shared" si="30"/>
        <v>#VALUE!</v>
      </c>
      <c r="E129" s="305" t="e">
        <f t="shared" si="30"/>
        <v>#VALUE!</v>
      </c>
      <c r="F129" s="305" t="e">
        <f t="shared" si="30"/>
        <v>#VALUE!</v>
      </c>
      <c r="G129" s="305" t="e">
        <f t="shared" si="30"/>
        <v>#VALUE!</v>
      </c>
      <c r="H129" s="305" t="e">
        <f t="shared" si="30"/>
        <v>#VALUE!</v>
      </c>
      <c r="I129" s="305" t="e">
        <f t="shared" si="30"/>
        <v>#VALUE!</v>
      </c>
      <c r="J129" s="305" t="e">
        <f t="shared" si="30"/>
        <v>#VALUE!</v>
      </c>
      <c r="K129" s="308" t="e">
        <f>K$118/15</f>
        <v>#VALUE!</v>
      </c>
      <c r="L129" s="305"/>
      <c r="M129" s="305"/>
      <c r="N129" s="305"/>
      <c r="O129" s="305"/>
      <c r="P129" s="305"/>
      <c r="Q129" s="305"/>
      <c r="R129" s="305"/>
      <c r="S129" s="305"/>
      <c r="T129" s="305"/>
      <c r="U129" s="305"/>
      <c r="V129" s="305"/>
      <c r="W129" s="305"/>
      <c r="X129" s="305"/>
      <c r="Y129" s="305"/>
      <c r="Z129" s="305"/>
      <c r="AA129" s="305"/>
      <c r="AB129" s="305"/>
      <c r="AC129" s="305"/>
      <c r="AD129" s="305"/>
      <c r="AE129" s="305"/>
      <c r="AF129" s="305"/>
      <c r="AG129" s="305"/>
      <c r="AH129" s="310" t="e">
        <f t="shared" si="28"/>
        <v>#VALUE!</v>
      </c>
    </row>
    <row r="130" spans="3:34">
      <c r="C130" s="304">
        <f t="shared" si="29"/>
        <v>10</v>
      </c>
      <c r="D130" s="305" t="e">
        <f t="shared" si="30"/>
        <v>#VALUE!</v>
      </c>
      <c r="E130" s="305" t="e">
        <f t="shared" si="30"/>
        <v>#VALUE!</v>
      </c>
      <c r="F130" s="305" t="e">
        <f t="shared" si="30"/>
        <v>#VALUE!</v>
      </c>
      <c r="G130" s="305" t="e">
        <f t="shared" si="30"/>
        <v>#VALUE!</v>
      </c>
      <c r="H130" s="305" t="e">
        <f t="shared" si="30"/>
        <v>#VALUE!</v>
      </c>
      <c r="I130" s="305" t="e">
        <f t="shared" si="30"/>
        <v>#VALUE!</v>
      </c>
      <c r="J130" s="305" t="e">
        <f t="shared" si="30"/>
        <v>#VALUE!</v>
      </c>
      <c r="K130" s="305" t="e">
        <f t="shared" si="30"/>
        <v>#VALUE!</v>
      </c>
      <c r="L130" s="308" t="e">
        <f>L$118/15</f>
        <v>#VALUE!</v>
      </c>
      <c r="M130" s="305"/>
      <c r="N130" s="305"/>
      <c r="O130" s="305"/>
      <c r="P130" s="305"/>
      <c r="Q130" s="305"/>
      <c r="R130" s="305"/>
      <c r="S130" s="305"/>
      <c r="T130" s="305"/>
      <c r="U130" s="305"/>
      <c r="V130" s="305"/>
      <c r="W130" s="305"/>
      <c r="X130" s="305"/>
      <c r="Y130" s="305"/>
      <c r="Z130" s="305"/>
      <c r="AA130" s="305"/>
      <c r="AB130" s="305"/>
      <c r="AC130" s="305"/>
      <c r="AD130" s="305"/>
      <c r="AE130" s="305"/>
      <c r="AF130" s="305"/>
      <c r="AG130" s="305"/>
      <c r="AH130" s="310" t="e">
        <f t="shared" si="28"/>
        <v>#VALUE!</v>
      </c>
    </row>
    <row r="131" spans="3:34">
      <c r="C131" s="304">
        <f t="shared" si="29"/>
        <v>11</v>
      </c>
      <c r="D131" s="305" t="e">
        <f t="shared" si="30"/>
        <v>#VALUE!</v>
      </c>
      <c r="E131" s="305" t="e">
        <f t="shared" si="30"/>
        <v>#VALUE!</v>
      </c>
      <c r="F131" s="305" t="e">
        <f t="shared" si="30"/>
        <v>#VALUE!</v>
      </c>
      <c r="G131" s="305" t="e">
        <f t="shared" si="30"/>
        <v>#VALUE!</v>
      </c>
      <c r="H131" s="305" t="e">
        <f t="shared" si="30"/>
        <v>#VALUE!</v>
      </c>
      <c r="I131" s="305" t="e">
        <f t="shared" si="30"/>
        <v>#VALUE!</v>
      </c>
      <c r="J131" s="305" t="e">
        <f t="shared" si="30"/>
        <v>#VALUE!</v>
      </c>
      <c r="K131" s="305" t="e">
        <f t="shared" si="30"/>
        <v>#VALUE!</v>
      </c>
      <c r="L131" s="305" t="e">
        <f t="shared" si="30"/>
        <v>#VALUE!</v>
      </c>
      <c r="M131" s="308" t="e">
        <f>M$118/15</f>
        <v>#VALUE!</v>
      </c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5"/>
      <c r="AB131" s="305"/>
      <c r="AC131" s="305"/>
      <c r="AD131" s="305"/>
      <c r="AE131" s="305"/>
      <c r="AF131" s="305"/>
      <c r="AG131" s="305"/>
      <c r="AH131" s="310" t="e">
        <f t="shared" si="28"/>
        <v>#VALUE!</v>
      </c>
    </row>
    <row r="132" spans="3:34">
      <c r="C132" s="304">
        <f t="shared" si="29"/>
        <v>12</v>
      </c>
      <c r="D132" s="305" t="e">
        <f t="shared" si="30"/>
        <v>#VALUE!</v>
      </c>
      <c r="E132" s="305" t="e">
        <f t="shared" si="30"/>
        <v>#VALUE!</v>
      </c>
      <c r="F132" s="305" t="e">
        <f t="shared" si="30"/>
        <v>#VALUE!</v>
      </c>
      <c r="G132" s="305" t="e">
        <f t="shared" si="30"/>
        <v>#VALUE!</v>
      </c>
      <c r="H132" s="305" t="e">
        <f t="shared" si="30"/>
        <v>#VALUE!</v>
      </c>
      <c r="I132" s="305" t="e">
        <f t="shared" si="30"/>
        <v>#VALUE!</v>
      </c>
      <c r="J132" s="305" t="e">
        <f t="shared" si="30"/>
        <v>#VALUE!</v>
      </c>
      <c r="K132" s="305" t="e">
        <f t="shared" si="30"/>
        <v>#VALUE!</v>
      </c>
      <c r="L132" s="305" t="e">
        <f t="shared" si="30"/>
        <v>#VALUE!</v>
      </c>
      <c r="M132" s="305" t="e">
        <f t="shared" si="30"/>
        <v>#VALUE!</v>
      </c>
      <c r="N132" s="308" t="e">
        <f>N$118/15</f>
        <v>#VALUE!</v>
      </c>
      <c r="O132" s="305"/>
      <c r="P132" s="305"/>
      <c r="Q132" s="305"/>
      <c r="R132" s="305"/>
      <c r="S132" s="305"/>
      <c r="T132" s="305"/>
      <c r="U132" s="305"/>
      <c r="V132" s="305"/>
      <c r="W132" s="305"/>
      <c r="X132" s="305"/>
      <c r="Y132" s="305"/>
      <c r="Z132" s="305"/>
      <c r="AA132" s="305"/>
      <c r="AB132" s="305"/>
      <c r="AC132" s="305"/>
      <c r="AD132" s="305"/>
      <c r="AE132" s="305"/>
      <c r="AF132" s="305"/>
      <c r="AG132" s="305"/>
      <c r="AH132" s="310" t="e">
        <f t="shared" si="28"/>
        <v>#VALUE!</v>
      </c>
    </row>
    <row r="133" spans="3:34">
      <c r="C133" s="304">
        <f t="shared" si="29"/>
        <v>13</v>
      </c>
      <c r="D133" s="305" t="e">
        <f t="shared" si="30"/>
        <v>#VALUE!</v>
      </c>
      <c r="E133" s="305" t="e">
        <f t="shared" si="30"/>
        <v>#VALUE!</v>
      </c>
      <c r="F133" s="305" t="e">
        <f t="shared" si="30"/>
        <v>#VALUE!</v>
      </c>
      <c r="G133" s="305" t="e">
        <f t="shared" si="30"/>
        <v>#VALUE!</v>
      </c>
      <c r="H133" s="305" t="e">
        <f t="shared" si="30"/>
        <v>#VALUE!</v>
      </c>
      <c r="I133" s="305" t="e">
        <f t="shared" si="30"/>
        <v>#VALUE!</v>
      </c>
      <c r="J133" s="305" t="e">
        <f t="shared" si="30"/>
        <v>#VALUE!</v>
      </c>
      <c r="K133" s="305" t="e">
        <f t="shared" si="30"/>
        <v>#VALUE!</v>
      </c>
      <c r="L133" s="305" t="e">
        <f t="shared" si="30"/>
        <v>#VALUE!</v>
      </c>
      <c r="M133" s="305" t="e">
        <f t="shared" si="30"/>
        <v>#VALUE!</v>
      </c>
      <c r="N133" s="305" t="e">
        <f t="shared" si="30"/>
        <v>#VALUE!</v>
      </c>
      <c r="O133" s="308" t="e">
        <f>O$118/15</f>
        <v>#VALUE!</v>
      </c>
      <c r="P133" s="325"/>
      <c r="Q133" s="305"/>
      <c r="R133" s="305"/>
      <c r="S133" s="305"/>
      <c r="T133" s="305"/>
      <c r="U133" s="305"/>
      <c r="V133" s="305"/>
      <c r="W133" s="305"/>
      <c r="X133" s="305"/>
      <c r="Y133" s="305"/>
      <c r="Z133" s="305"/>
      <c r="AA133" s="305"/>
      <c r="AB133" s="305"/>
      <c r="AC133" s="305"/>
      <c r="AD133" s="305"/>
      <c r="AE133" s="305"/>
      <c r="AF133" s="305"/>
      <c r="AG133" s="305"/>
      <c r="AH133" s="310" t="e">
        <f t="shared" si="28"/>
        <v>#VALUE!</v>
      </c>
    </row>
    <row r="134" spans="3:34">
      <c r="C134" s="304">
        <f t="shared" si="29"/>
        <v>14</v>
      </c>
      <c r="D134" s="305" t="e">
        <f t="shared" si="30"/>
        <v>#VALUE!</v>
      </c>
      <c r="E134" s="305" t="e">
        <f t="shared" si="30"/>
        <v>#VALUE!</v>
      </c>
      <c r="F134" s="305" t="e">
        <f t="shared" si="30"/>
        <v>#VALUE!</v>
      </c>
      <c r="G134" s="305" t="e">
        <f t="shared" si="30"/>
        <v>#VALUE!</v>
      </c>
      <c r="H134" s="305" t="e">
        <f t="shared" si="30"/>
        <v>#VALUE!</v>
      </c>
      <c r="I134" s="305" t="e">
        <f t="shared" si="30"/>
        <v>#VALUE!</v>
      </c>
      <c r="J134" s="305" t="e">
        <f t="shared" si="30"/>
        <v>#VALUE!</v>
      </c>
      <c r="K134" s="305" t="e">
        <f t="shared" si="30"/>
        <v>#VALUE!</v>
      </c>
      <c r="L134" s="305" t="e">
        <f t="shared" si="30"/>
        <v>#VALUE!</v>
      </c>
      <c r="M134" s="305" t="e">
        <f t="shared" si="30"/>
        <v>#VALUE!</v>
      </c>
      <c r="N134" s="305" t="e">
        <f t="shared" si="30"/>
        <v>#VALUE!</v>
      </c>
      <c r="O134" s="305" t="e">
        <f t="shared" si="30"/>
        <v>#VALUE!</v>
      </c>
      <c r="P134" s="308" t="e">
        <f>P$118/15</f>
        <v>#VALUE!</v>
      </c>
      <c r="Q134" s="305"/>
      <c r="R134" s="305"/>
      <c r="S134" s="305"/>
      <c r="T134" s="305"/>
      <c r="U134" s="305"/>
      <c r="V134" s="305"/>
      <c r="W134" s="305"/>
      <c r="X134" s="305"/>
      <c r="Y134" s="305"/>
      <c r="Z134" s="305"/>
      <c r="AA134" s="305"/>
      <c r="AB134" s="305"/>
      <c r="AC134" s="305"/>
      <c r="AD134" s="305"/>
      <c r="AE134" s="305"/>
      <c r="AF134" s="305"/>
      <c r="AG134" s="305"/>
      <c r="AH134" s="310" t="e">
        <f t="shared" si="28"/>
        <v>#VALUE!</v>
      </c>
    </row>
    <row r="135" spans="3:34">
      <c r="C135" s="304">
        <f t="shared" si="29"/>
        <v>15</v>
      </c>
      <c r="D135" s="305" t="e">
        <f t="shared" si="30"/>
        <v>#VALUE!</v>
      </c>
      <c r="E135" s="305" t="e">
        <f t="shared" si="30"/>
        <v>#VALUE!</v>
      </c>
      <c r="F135" s="305" t="e">
        <f t="shared" si="30"/>
        <v>#VALUE!</v>
      </c>
      <c r="G135" s="305" t="e">
        <f t="shared" si="30"/>
        <v>#VALUE!</v>
      </c>
      <c r="H135" s="305" t="e">
        <f t="shared" si="30"/>
        <v>#VALUE!</v>
      </c>
      <c r="I135" s="305" t="e">
        <f t="shared" si="30"/>
        <v>#VALUE!</v>
      </c>
      <c r="J135" s="305" t="e">
        <f t="shared" si="30"/>
        <v>#VALUE!</v>
      </c>
      <c r="K135" s="305" t="e">
        <f t="shared" si="30"/>
        <v>#VALUE!</v>
      </c>
      <c r="L135" s="305" t="e">
        <f t="shared" si="30"/>
        <v>#VALUE!</v>
      </c>
      <c r="M135" s="305" t="e">
        <f t="shared" si="30"/>
        <v>#VALUE!</v>
      </c>
      <c r="N135" s="305" t="e">
        <f t="shared" si="30"/>
        <v>#VALUE!</v>
      </c>
      <c r="O135" s="305" t="e">
        <f t="shared" si="30"/>
        <v>#VALUE!</v>
      </c>
      <c r="P135" s="305" t="e">
        <f>P134</f>
        <v>#VALUE!</v>
      </c>
      <c r="Q135" s="308" t="e">
        <f>Q$118/15</f>
        <v>#VALUE!</v>
      </c>
      <c r="R135" s="305"/>
      <c r="S135" s="305"/>
      <c r="T135" s="305"/>
      <c r="U135" s="305"/>
      <c r="V135" s="305"/>
      <c r="W135" s="305"/>
      <c r="X135" s="305"/>
      <c r="Y135" s="305"/>
      <c r="Z135" s="305"/>
      <c r="AA135" s="305"/>
      <c r="AB135" s="305"/>
      <c r="AC135" s="305"/>
      <c r="AD135" s="305"/>
      <c r="AE135" s="305"/>
      <c r="AF135" s="305"/>
      <c r="AG135" s="305"/>
      <c r="AH135" s="310" t="e">
        <f t="shared" si="28"/>
        <v>#VALUE!</v>
      </c>
    </row>
    <row r="136" spans="3:34">
      <c r="C136" s="304">
        <f t="shared" si="29"/>
        <v>16</v>
      </c>
      <c r="D136" s="305" t="e">
        <f t="shared" si="30"/>
        <v>#VALUE!</v>
      </c>
      <c r="E136" s="305" t="e">
        <f t="shared" si="30"/>
        <v>#VALUE!</v>
      </c>
      <c r="F136" s="305" t="e">
        <f t="shared" si="30"/>
        <v>#VALUE!</v>
      </c>
      <c r="G136" s="305" t="e">
        <f t="shared" si="30"/>
        <v>#VALUE!</v>
      </c>
      <c r="H136" s="305" t="e">
        <f t="shared" si="30"/>
        <v>#VALUE!</v>
      </c>
      <c r="I136" s="305" t="e">
        <f t="shared" si="30"/>
        <v>#VALUE!</v>
      </c>
      <c r="J136" s="305" t="e">
        <f t="shared" si="30"/>
        <v>#VALUE!</v>
      </c>
      <c r="K136" s="305" t="e">
        <f t="shared" si="30"/>
        <v>#VALUE!</v>
      </c>
      <c r="L136" s="305" t="e">
        <f t="shared" si="30"/>
        <v>#VALUE!</v>
      </c>
      <c r="M136" s="305" t="e">
        <f t="shared" si="30"/>
        <v>#VALUE!</v>
      </c>
      <c r="N136" s="305" t="e">
        <f t="shared" si="30"/>
        <v>#VALUE!</v>
      </c>
      <c r="O136" s="305" t="e">
        <f t="shared" si="30"/>
        <v>#VALUE!</v>
      </c>
      <c r="P136" s="305" t="e">
        <f>P135</f>
        <v>#VALUE!</v>
      </c>
      <c r="Q136" s="305" t="e">
        <f>Q135</f>
        <v>#VALUE!</v>
      </c>
      <c r="R136" s="308" t="e">
        <f>R$118/15</f>
        <v>#VALUE!</v>
      </c>
      <c r="S136" s="305"/>
      <c r="T136" s="305"/>
      <c r="U136" s="305"/>
      <c r="V136" s="305"/>
      <c r="W136" s="305"/>
      <c r="X136" s="305"/>
      <c r="Y136" s="305"/>
      <c r="Z136" s="305"/>
      <c r="AA136" s="305"/>
      <c r="AB136" s="305"/>
      <c r="AC136" s="305"/>
      <c r="AD136" s="305"/>
      <c r="AE136" s="305"/>
      <c r="AF136" s="305"/>
      <c r="AG136" s="305"/>
      <c r="AH136" s="310" t="e">
        <f t="shared" si="28"/>
        <v>#VALUE!</v>
      </c>
    </row>
    <row r="137" spans="3:34">
      <c r="C137" s="304">
        <f t="shared" si="29"/>
        <v>17</v>
      </c>
      <c r="D137" s="305"/>
      <c r="E137" s="305" t="e">
        <f t="shared" si="30"/>
        <v>#VALUE!</v>
      </c>
      <c r="F137" s="305" t="e">
        <f t="shared" si="30"/>
        <v>#VALUE!</v>
      </c>
      <c r="G137" s="305" t="e">
        <f t="shared" si="30"/>
        <v>#VALUE!</v>
      </c>
      <c r="H137" s="305" t="e">
        <f t="shared" si="30"/>
        <v>#VALUE!</v>
      </c>
      <c r="I137" s="305" t="e">
        <f t="shared" si="30"/>
        <v>#VALUE!</v>
      </c>
      <c r="J137" s="305" t="e">
        <f t="shared" si="30"/>
        <v>#VALUE!</v>
      </c>
      <c r="K137" s="305" t="e">
        <f t="shared" si="30"/>
        <v>#VALUE!</v>
      </c>
      <c r="L137" s="305" t="e">
        <f t="shared" si="30"/>
        <v>#VALUE!</v>
      </c>
      <c r="M137" s="305" t="e">
        <f t="shared" si="30"/>
        <v>#VALUE!</v>
      </c>
      <c r="N137" s="305" t="e">
        <f t="shared" si="30"/>
        <v>#VALUE!</v>
      </c>
      <c r="O137" s="305" t="e">
        <f t="shared" si="30"/>
        <v>#VALUE!</v>
      </c>
      <c r="P137" s="305" t="e">
        <f>P136</f>
        <v>#VALUE!</v>
      </c>
      <c r="Q137" s="305" t="e">
        <f>Q136</f>
        <v>#VALUE!</v>
      </c>
      <c r="R137" s="305" t="e">
        <f>R136</f>
        <v>#VALUE!</v>
      </c>
      <c r="S137" s="308" t="e">
        <f>S118/14</f>
        <v>#VALUE!</v>
      </c>
      <c r="T137" s="305"/>
      <c r="U137" s="305"/>
      <c r="V137" s="305"/>
      <c r="W137" s="305"/>
      <c r="X137" s="305"/>
      <c r="Y137" s="305"/>
      <c r="Z137" s="305"/>
      <c r="AA137" s="305"/>
      <c r="AB137" s="305"/>
      <c r="AC137" s="305"/>
      <c r="AD137" s="305"/>
      <c r="AE137" s="305"/>
      <c r="AF137" s="305"/>
      <c r="AG137" s="305"/>
      <c r="AH137" s="310" t="e">
        <f t="shared" si="28"/>
        <v>#VALUE!</v>
      </c>
    </row>
    <row r="138" spans="3:34">
      <c r="C138" s="304">
        <f t="shared" si="29"/>
        <v>18</v>
      </c>
      <c r="D138" s="305"/>
      <c r="E138" s="305"/>
      <c r="F138" s="305" t="e">
        <f>F137</f>
        <v>#VALUE!</v>
      </c>
      <c r="G138" s="305" t="e">
        <f>G137</f>
        <v>#VALUE!</v>
      </c>
      <c r="H138" s="305" t="e">
        <f>H137</f>
        <v>#VALUE!</v>
      </c>
      <c r="I138" s="305" t="e">
        <f>I137</f>
        <v>#VALUE!</v>
      </c>
      <c r="J138" s="305" t="e">
        <f>J137</f>
        <v>#VALUE!</v>
      </c>
      <c r="K138" s="305" t="e">
        <f t="shared" si="30"/>
        <v>#VALUE!</v>
      </c>
      <c r="L138" s="305" t="e">
        <f t="shared" si="30"/>
        <v>#VALUE!</v>
      </c>
      <c r="M138" s="305" t="e">
        <f t="shared" si="30"/>
        <v>#VALUE!</v>
      </c>
      <c r="N138" s="305" t="e">
        <f t="shared" si="30"/>
        <v>#VALUE!</v>
      </c>
      <c r="O138" s="305" t="e">
        <f t="shared" si="30"/>
        <v>#VALUE!</v>
      </c>
      <c r="P138" s="305" t="e">
        <f>P137</f>
        <v>#VALUE!</v>
      </c>
      <c r="Q138" s="305" t="e">
        <f>Q137</f>
        <v>#VALUE!</v>
      </c>
      <c r="R138" s="305" t="e">
        <f>R137</f>
        <v>#VALUE!</v>
      </c>
      <c r="S138" s="305" t="e">
        <f>S137</f>
        <v>#VALUE!</v>
      </c>
      <c r="T138" s="308" t="e">
        <f>T118/13</f>
        <v>#VALUE!</v>
      </c>
      <c r="U138" s="305"/>
      <c r="V138" s="305"/>
      <c r="W138" s="305"/>
      <c r="X138" s="305"/>
      <c r="Y138" s="305"/>
      <c r="Z138" s="305"/>
      <c r="AA138" s="305"/>
      <c r="AB138" s="305"/>
      <c r="AC138" s="305"/>
      <c r="AD138" s="305"/>
      <c r="AE138" s="305"/>
      <c r="AF138" s="305"/>
      <c r="AG138" s="305"/>
      <c r="AH138" s="310" t="e">
        <f t="shared" si="28"/>
        <v>#VALUE!</v>
      </c>
    </row>
    <row r="139" spans="3:34">
      <c r="C139" s="304">
        <f t="shared" si="29"/>
        <v>19</v>
      </c>
      <c r="D139" s="305"/>
      <c r="E139" s="305"/>
      <c r="F139" s="305"/>
      <c r="G139" s="305" t="e">
        <f>G138</f>
        <v>#VALUE!</v>
      </c>
      <c r="H139" s="305" t="e">
        <f>H138</f>
        <v>#VALUE!</v>
      </c>
      <c r="I139" s="305" t="e">
        <f>I138</f>
        <v>#VALUE!</v>
      </c>
      <c r="J139" s="305" t="e">
        <f>J138</f>
        <v>#VALUE!</v>
      </c>
      <c r="K139" s="305" t="e">
        <f t="shared" si="30"/>
        <v>#VALUE!</v>
      </c>
      <c r="L139" s="305" t="e">
        <f t="shared" si="30"/>
        <v>#VALUE!</v>
      </c>
      <c r="M139" s="305" t="e">
        <f t="shared" si="30"/>
        <v>#VALUE!</v>
      </c>
      <c r="N139" s="305" t="e">
        <f t="shared" si="30"/>
        <v>#VALUE!</v>
      </c>
      <c r="O139" s="305" t="e">
        <f t="shared" si="30"/>
        <v>#VALUE!</v>
      </c>
      <c r="P139" s="305" t="e">
        <f>P138</f>
        <v>#VALUE!</v>
      </c>
      <c r="Q139" s="305" t="e">
        <f>Q138</f>
        <v>#VALUE!</v>
      </c>
      <c r="R139" s="305" t="e">
        <f>R138</f>
        <v>#VALUE!</v>
      </c>
      <c r="S139" s="305" t="e">
        <f t="shared" ref="S139:Z150" si="31">S138</f>
        <v>#VALUE!</v>
      </c>
      <c r="T139" s="305" t="e">
        <f>T138</f>
        <v>#VALUE!</v>
      </c>
      <c r="U139" s="308" t="e">
        <f>U118/12</f>
        <v>#VALUE!</v>
      </c>
      <c r="V139" s="305"/>
      <c r="W139" s="305"/>
      <c r="X139" s="305"/>
      <c r="Y139" s="305"/>
      <c r="Z139" s="305"/>
      <c r="AA139" s="305"/>
      <c r="AB139" s="305"/>
      <c r="AC139" s="305"/>
      <c r="AD139" s="305"/>
      <c r="AE139" s="305"/>
      <c r="AF139" s="305"/>
      <c r="AG139" s="305"/>
      <c r="AH139" s="310" t="e">
        <f t="shared" si="28"/>
        <v>#VALUE!</v>
      </c>
    </row>
    <row r="140" spans="3:34">
      <c r="C140" s="304">
        <f t="shared" si="29"/>
        <v>20</v>
      </c>
      <c r="D140" s="305"/>
      <c r="E140" s="305"/>
      <c r="F140" s="305"/>
      <c r="G140" s="305"/>
      <c r="H140" s="305" t="e">
        <f t="shared" ref="H140:R150" si="32">H139</f>
        <v>#VALUE!</v>
      </c>
      <c r="I140" s="305" t="e">
        <f t="shared" si="32"/>
        <v>#VALUE!</v>
      </c>
      <c r="J140" s="305" t="e">
        <f t="shared" si="32"/>
        <v>#VALUE!</v>
      </c>
      <c r="K140" s="305" t="e">
        <f t="shared" si="32"/>
        <v>#VALUE!</v>
      </c>
      <c r="L140" s="305" t="e">
        <f t="shared" si="32"/>
        <v>#VALUE!</v>
      </c>
      <c r="M140" s="305" t="e">
        <f t="shared" si="32"/>
        <v>#VALUE!</v>
      </c>
      <c r="N140" s="305" t="e">
        <f t="shared" si="32"/>
        <v>#VALUE!</v>
      </c>
      <c r="O140" s="305" t="e">
        <f t="shared" si="32"/>
        <v>#VALUE!</v>
      </c>
      <c r="P140" s="305" t="e">
        <f t="shared" si="32"/>
        <v>#VALUE!</v>
      </c>
      <c r="Q140" s="305" t="e">
        <f t="shared" si="32"/>
        <v>#VALUE!</v>
      </c>
      <c r="R140" s="305" t="e">
        <f t="shared" si="32"/>
        <v>#VALUE!</v>
      </c>
      <c r="S140" s="305" t="e">
        <f t="shared" si="31"/>
        <v>#VALUE!</v>
      </c>
      <c r="T140" s="305" t="e">
        <f t="shared" si="31"/>
        <v>#VALUE!</v>
      </c>
      <c r="U140" s="305" t="e">
        <f>U139</f>
        <v>#VALUE!</v>
      </c>
      <c r="V140" s="308" t="e">
        <f>V118/11</f>
        <v>#VALUE!</v>
      </c>
      <c r="W140" s="305"/>
      <c r="X140" s="305"/>
      <c r="Y140" s="305"/>
      <c r="Z140" s="305"/>
      <c r="AA140" s="305"/>
      <c r="AB140" s="305"/>
      <c r="AC140" s="305"/>
      <c r="AD140" s="305"/>
      <c r="AE140" s="305"/>
      <c r="AF140" s="305"/>
      <c r="AG140" s="305"/>
      <c r="AH140" s="310" t="e">
        <f t="shared" si="28"/>
        <v>#VALUE!</v>
      </c>
    </row>
    <row r="141" spans="3:34">
      <c r="C141" s="304">
        <f t="shared" si="29"/>
        <v>21</v>
      </c>
      <c r="D141" s="305"/>
      <c r="E141" s="305"/>
      <c r="F141" s="305"/>
      <c r="G141" s="305"/>
      <c r="H141" s="305"/>
      <c r="I141" s="305" t="e">
        <f t="shared" si="32"/>
        <v>#VALUE!</v>
      </c>
      <c r="J141" s="305" t="e">
        <f t="shared" si="32"/>
        <v>#VALUE!</v>
      </c>
      <c r="K141" s="305" t="e">
        <f t="shared" si="32"/>
        <v>#VALUE!</v>
      </c>
      <c r="L141" s="305" t="e">
        <f t="shared" si="32"/>
        <v>#VALUE!</v>
      </c>
      <c r="M141" s="305" t="e">
        <f t="shared" si="32"/>
        <v>#VALUE!</v>
      </c>
      <c r="N141" s="305" t="e">
        <f t="shared" si="32"/>
        <v>#VALUE!</v>
      </c>
      <c r="O141" s="305" t="e">
        <f t="shared" si="32"/>
        <v>#VALUE!</v>
      </c>
      <c r="P141" s="305" t="e">
        <f t="shared" si="32"/>
        <v>#VALUE!</v>
      </c>
      <c r="Q141" s="305" t="e">
        <f t="shared" si="32"/>
        <v>#VALUE!</v>
      </c>
      <c r="R141" s="305" t="e">
        <f t="shared" si="32"/>
        <v>#VALUE!</v>
      </c>
      <c r="S141" s="305" t="e">
        <f t="shared" si="31"/>
        <v>#VALUE!</v>
      </c>
      <c r="T141" s="305" t="e">
        <f t="shared" si="31"/>
        <v>#VALUE!</v>
      </c>
      <c r="U141" s="305" t="e">
        <f t="shared" si="31"/>
        <v>#VALUE!</v>
      </c>
      <c r="V141" s="305" t="e">
        <f>V140</f>
        <v>#VALUE!</v>
      </c>
      <c r="W141" s="308" t="e">
        <f>W118/10</f>
        <v>#VALUE!</v>
      </c>
      <c r="X141" s="305"/>
      <c r="Y141" s="305"/>
      <c r="Z141" s="305"/>
      <c r="AA141" s="305"/>
      <c r="AB141" s="305"/>
      <c r="AC141" s="305"/>
      <c r="AD141" s="305"/>
      <c r="AE141" s="305"/>
      <c r="AF141" s="305"/>
      <c r="AG141" s="305"/>
      <c r="AH141" s="310" t="e">
        <f t="shared" si="28"/>
        <v>#VALUE!</v>
      </c>
    </row>
    <row r="142" spans="3:34">
      <c r="C142" s="330">
        <f t="shared" si="29"/>
        <v>22</v>
      </c>
      <c r="D142" s="305"/>
      <c r="E142" s="305"/>
      <c r="F142" s="305"/>
      <c r="G142" s="305"/>
      <c r="H142" s="305"/>
      <c r="I142" s="305"/>
      <c r="J142" s="305" t="e">
        <f t="shared" si="32"/>
        <v>#VALUE!</v>
      </c>
      <c r="K142" s="305" t="e">
        <f t="shared" si="32"/>
        <v>#VALUE!</v>
      </c>
      <c r="L142" s="305" t="e">
        <f t="shared" si="32"/>
        <v>#VALUE!</v>
      </c>
      <c r="M142" s="305" t="e">
        <f t="shared" si="32"/>
        <v>#VALUE!</v>
      </c>
      <c r="N142" s="305" t="e">
        <f t="shared" si="32"/>
        <v>#VALUE!</v>
      </c>
      <c r="O142" s="305" t="e">
        <f t="shared" si="32"/>
        <v>#VALUE!</v>
      </c>
      <c r="P142" s="305" t="e">
        <f t="shared" si="32"/>
        <v>#VALUE!</v>
      </c>
      <c r="Q142" s="305" t="e">
        <f t="shared" si="32"/>
        <v>#VALUE!</v>
      </c>
      <c r="R142" s="305" t="e">
        <f t="shared" si="32"/>
        <v>#VALUE!</v>
      </c>
      <c r="S142" s="305" t="e">
        <f t="shared" si="31"/>
        <v>#VALUE!</v>
      </c>
      <c r="T142" s="305" t="e">
        <f t="shared" si="31"/>
        <v>#VALUE!</v>
      </c>
      <c r="U142" s="305" t="e">
        <f t="shared" si="31"/>
        <v>#VALUE!</v>
      </c>
      <c r="V142" s="305" t="e">
        <f t="shared" si="31"/>
        <v>#VALUE!</v>
      </c>
      <c r="W142" s="305" t="e">
        <f>W141</f>
        <v>#VALUE!</v>
      </c>
      <c r="X142" s="308" t="e">
        <f>X118/9</f>
        <v>#VALUE!</v>
      </c>
      <c r="Y142" s="305"/>
      <c r="Z142" s="305"/>
      <c r="AA142" s="305"/>
      <c r="AB142" s="305"/>
      <c r="AC142" s="305"/>
      <c r="AD142" s="305"/>
      <c r="AE142" s="305"/>
      <c r="AF142" s="305"/>
      <c r="AG142" s="305"/>
      <c r="AH142" s="310" t="e">
        <f t="shared" si="28"/>
        <v>#VALUE!</v>
      </c>
    </row>
    <row r="143" spans="3:34">
      <c r="C143" s="330">
        <f t="shared" si="29"/>
        <v>23</v>
      </c>
      <c r="D143" s="305"/>
      <c r="E143" s="305"/>
      <c r="F143" s="305"/>
      <c r="G143" s="305"/>
      <c r="H143" s="305"/>
      <c r="I143" s="305"/>
      <c r="J143" s="305"/>
      <c r="K143" s="305" t="e">
        <f t="shared" si="32"/>
        <v>#VALUE!</v>
      </c>
      <c r="L143" s="305" t="e">
        <f t="shared" si="32"/>
        <v>#VALUE!</v>
      </c>
      <c r="M143" s="305" t="e">
        <f t="shared" si="32"/>
        <v>#VALUE!</v>
      </c>
      <c r="N143" s="305" t="e">
        <f t="shared" si="32"/>
        <v>#VALUE!</v>
      </c>
      <c r="O143" s="305" t="e">
        <f t="shared" si="32"/>
        <v>#VALUE!</v>
      </c>
      <c r="P143" s="305" t="e">
        <f t="shared" si="32"/>
        <v>#VALUE!</v>
      </c>
      <c r="Q143" s="305" t="e">
        <f t="shared" si="32"/>
        <v>#VALUE!</v>
      </c>
      <c r="R143" s="305" t="e">
        <f t="shared" si="32"/>
        <v>#VALUE!</v>
      </c>
      <c r="S143" s="305" t="e">
        <f t="shared" si="31"/>
        <v>#VALUE!</v>
      </c>
      <c r="T143" s="305" t="e">
        <f t="shared" si="31"/>
        <v>#VALUE!</v>
      </c>
      <c r="U143" s="305" t="e">
        <f t="shared" si="31"/>
        <v>#VALUE!</v>
      </c>
      <c r="V143" s="305" t="e">
        <f t="shared" si="31"/>
        <v>#VALUE!</v>
      </c>
      <c r="W143" s="305" t="e">
        <f t="shared" si="31"/>
        <v>#VALUE!</v>
      </c>
      <c r="X143" s="305" t="e">
        <f>X142</f>
        <v>#VALUE!</v>
      </c>
      <c r="Y143" s="308" t="e">
        <f>Y118/8</f>
        <v>#VALUE!</v>
      </c>
      <c r="Z143" s="305"/>
      <c r="AA143" s="305"/>
      <c r="AB143" s="305"/>
      <c r="AC143" s="305"/>
      <c r="AD143" s="305"/>
      <c r="AE143" s="305"/>
      <c r="AF143" s="305"/>
      <c r="AG143" s="305"/>
      <c r="AH143" s="310" t="e">
        <f t="shared" si="28"/>
        <v>#VALUE!</v>
      </c>
    </row>
    <row r="144" spans="3:34">
      <c r="C144" s="330">
        <f t="shared" si="29"/>
        <v>24</v>
      </c>
      <c r="D144" s="305"/>
      <c r="E144" s="305"/>
      <c r="F144" s="305"/>
      <c r="G144" s="305"/>
      <c r="H144" s="305"/>
      <c r="I144" s="305"/>
      <c r="J144" s="305"/>
      <c r="K144" s="305"/>
      <c r="L144" s="305" t="e">
        <f t="shared" si="32"/>
        <v>#VALUE!</v>
      </c>
      <c r="M144" s="305" t="e">
        <f t="shared" si="32"/>
        <v>#VALUE!</v>
      </c>
      <c r="N144" s="305" t="e">
        <f t="shared" si="32"/>
        <v>#VALUE!</v>
      </c>
      <c r="O144" s="305" t="e">
        <f t="shared" si="32"/>
        <v>#VALUE!</v>
      </c>
      <c r="P144" s="305" t="e">
        <f t="shared" si="32"/>
        <v>#VALUE!</v>
      </c>
      <c r="Q144" s="305" t="e">
        <f t="shared" si="32"/>
        <v>#VALUE!</v>
      </c>
      <c r="R144" s="305" t="e">
        <f t="shared" si="32"/>
        <v>#VALUE!</v>
      </c>
      <c r="S144" s="305" t="e">
        <f t="shared" si="31"/>
        <v>#VALUE!</v>
      </c>
      <c r="T144" s="305" t="e">
        <f t="shared" si="31"/>
        <v>#VALUE!</v>
      </c>
      <c r="U144" s="305" t="e">
        <f t="shared" si="31"/>
        <v>#VALUE!</v>
      </c>
      <c r="V144" s="305" t="e">
        <f t="shared" si="31"/>
        <v>#VALUE!</v>
      </c>
      <c r="W144" s="305" t="e">
        <f t="shared" si="31"/>
        <v>#VALUE!</v>
      </c>
      <c r="X144" s="305" t="e">
        <f t="shared" si="31"/>
        <v>#VALUE!</v>
      </c>
      <c r="Y144" s="305" t="e">
        <f>Y143</f>
        <v>#VALUE!</v>
      </c>
      <c r="Z144" s="308" t="e">
        <f>Z118/7</f>
        <v>#VALUE!</v>
      </c>
      <c r="AA144" s="305"/>
      <c r="AB144" s="305"/>
      <c r="AC144" s="305"/>
      <c r="AD144" s="305"/>
      <c r="AE144" s="305"/>
      <c r="AF144" s="305"/>
      <c r="AG144" s="305"/>
      <c r="AH144" s="310" t="e">
        <f t="shared" si="28"/>
        <v>#VALUE!</v>
      </c>
    </row>
    <row r="145" spans="1:34">
      <c r="C145" s="330">
        <f t="shared" si="29"/>
        <v>25</v>
      </c>
      <c r="D145" s="305"/>
      <c r="E145" s="305"/>
      <c r="F145" s="305"/>
      <c r="G145" s="305"/>
      <c r="H145" s="305"/>
      <c r="I145" s="305"/>
      <c r="J145" s="305"/>
      <c r="K145" s="305"/>
      <c r="L145" s="305"/>
      <c r="M145" s="305" t="e">
        <f t="shared" si="32"/>
        <v>#VALUE!</v>
      </c>
      <c r="N145" s="305" t="e">
        <f t="shared" si="32"/>
        <v>#VALUE!</v>
      </c>
      <c r="O145" s="305" t="e">
        <f t="shared" si="32"/>
        <v>#VALUE!</v>
      </c>
      <c r="P145" s="305" t="e">
        <f t="shared" si="32"/>
        <v>#VALUE!</v>
      </c>
      <c r="Q145" s="305" t="e">
        <f t="shared" si="32"/>
        <v>#VALUE!</v>
      </c>
      <c r="R145" s="305" t="e">
        <f t="shared" si="32"/>
        <v>#VALUE!</v>
      </c>
      <c r="S145" s="305" t="e">
        <f t="shared" si="31"/>
        <v>#VALUE!</v>
      </c>
      <c r="T145" s="305" t="e">
        <f t="shared" si="31"/>
        <v>#VALUE!</v>
      </c>
      <c r="U145" s="305" t="e">
        <f t="shared" si="31"/>
        <v>#VALUE!</v>
      </c>
      <c r="V145" s="305" t="e">
        <f t="shared" si="31"/>
        <v>#VALUE!</v>
      </c>
      <c r="W145" s="305" t="e">
        <f t="shared" si="31"/>
        <v>#VALUE!</v>
      </c>
      <c r="X145" s="305" t="e">
        <f t="shared" si="31"/>
        <v>#VALUE!</v>
      </c>
      <c r="Y145" s="305" t="e">
        <f t="shared" si="31"/>
        <v>#VALUE!</v>
      </c>
      <c r="Z145" s="305" t="e">
        <f t="shared" si="31"/>
        <v>#VALUE!</v>
      </c>
      <c r="AA145" s="308" t="e">
        <f>AA118/6</f>
        <v>#VALUE!</v>
      </c>
      <c r="AB145" s="305"/>
      <c r="AC145" s="305"/>
      <c r="AD145" s="305"/>
      <c r="AE145" s="305"/>
      <c r="AF145" s="305"/>
      <c r="AG145" s="305"/>
      <c r="AH145" s="310" t="e">
        <f t="shared" si="28"/>
        <v>#VALUE!</v>
      </c>
    </row>
    <row r="146" spans="1:34">
      <c r="C146" s="330">
        <f t="shared" si="29"/>
        <v>26</v>
      </c>
      <c r="D146" s="305"/>
      <c r="E146" s="305"/>
      <c r="F146" s="305"/>
      <c r="G146" s="305"/>
      <c r="H146" s="305"/>
      <c r="I146" s="305"/>
      <c r="J146" s="305"/>
      <c r="K146" s="305"/>
      <c r="L146" s="305"/>
      <c r="M146" s="305"/>
      <c r="N146" s="305" t="e">
        <f t="shared" si="32"/>
        <v>#VALUE!</v>
      </c>
      <c r="O146" s="305" t="e">
        <f t="shared" si="32"/>
        <v>#VALUE!</v>
      </c>
      <c r="P146" s="305" t="e">
        <f t="shared" si="32"/>
        <v>#VALUE!</v>
      </c>
      <c r="Q146" s="305" t="e">
        <f t="shared" si="32"/>
        <v>#VALUE!</v>
      </c>
      <c r="R146" s="305" t="e">
        <f t="shared" si="32"/>
        <v>#VALUE!</v>
      </c>
      <c r="S146" s="305" t="e">
        <f t="shared" si="31"/>
        <v>#VALUE!</v>
      </c>
      <c r="T146" s="305" t="e">
        <f t="shared" si="31"/>
        <v>#VALUE!</v>
      </c>
      <c r="U146" s="305" t="e">
        <f t="shared" si="31"/>
        <v>#VALUE!</v>
      </c>
      <c r="V146" s="305" t="e">
        <f t="shared" si="31"/>
        <v>#VALUE!</v>
      </c>
      <c r="W146" s="305" t="e">
        <f t="shared" si="31"/>
        <v>#VALUE!</v>
      </c>
      <c r="X146" s="305" t="e">
        <f t="shared" si="31"/>
        <v>#VALUE!</v>
      </c>
      <c r="Y146" s="305" t="e">
        <f t="shared" si="31"/>
        <v>#VALUE!</v>
      </c>
      <c r="Z146" s="305" t="e">
        <f t="shared" si="31"/>
        <v>#VALUE!</v>
      </c>
      <c r="AA146" s="305" t="e">
        <f>AA145</f>
        <v>#VALUE!</v>
      </c>
      <c r="AB146" s="308" t="e">
        <f>AB118/5</f>
        <v>#VALUE!</v>
      </c>
      <c r="AC146" s="305"/>
      <c r="AD146" s="305"/>
      <c r="AE146" s="305"/>
      <c r="AF146" s="305"/>
      <c r="AG146" s="305"/>
      <c r="AH146" s="310" t="e">
        <f t="shared" si="28"/>
        <v>#VALUE!</v>
      </c>
    </row>
    <row r="147" spans="1:34">
      <c r="C147" s="330">
        <f t="shared" si="29"/>
        <v>27</v>
      </c>
      <c r="D147" s="305"/>
      <c r="E147" s="305"/>
      <c r="F147" s="305"/>
      <c r="G147" s="305"/>
      <c r="H147" s="305"/>
      <c r="I147" s="305"/>
      <c r="J147" s="305"/>
      <c r="K147" s="305"/>
      <c r="L147" s="305"/>
      <c r="M147" s="305"/>
      <c r="N147" s="305"/>
      <c r="O147" s="305" t="e">
        <f t="shared" si="32"/>
        <v>#VALUE!</v>
      </c>
      <c r="P147" s="305" t="e">
        <f t="shared" si="32"/>
        <v>#VALUE!</v>
      </c>
      <c r="Q147" s="305" t="e">
        <f t="shared" si="32"/>
        <v>#VALUE!</v>
      </c>
      <c r="R147" s="305" t="e">
        <f t="shared" si="32"/>
        <v>#VALUE!</v>
      </c>
      <c r="S147" s="305" t="e">
        <f t="shared" si="31"/>
        <v>#VALUE!</v>
      </c>
      <c r="T147" s="305" t="e">
        <f t="shared" si="31"/>
        <v>#VALUE!</v>
      </c>
      <c r="U147" s="305" t="e">
        <f t="shared" si="31"/>
        <v>#VALUE!</v>
      </c>
      <c r="V147" s="305" t="e">
        <f t="shared" si="31"/>
        <v>#VALUE!</v>
      </c>
      <c r="W147" s="305" t="e">
        <f t="shared" si="31"/>
        <v>#VALUE!</v>
      </c>
      <c r="X147" s="305" t="e">
        <f t="shared" si="31"/>
        <v>#VALUE!</v>
      </c>
      <c r="Y147" s="305" t="e">
        <f t="shared" si="31"/>
        <v>#VALUE!</v>
      </c>
      <c r="Z147" s="305" t="e">
        <f t="shared" si="31"/>
        <v>#VALUE!</v>
      </c>
      <c r="AA147" s="305" t="e">
        <f>AA146</f>
        <v>#VALUE!</v>
      </c>
      <c r="AB147" s="305" t="e">
        <f>AB146</f>
        <v>#VALUE!</v>
      </c>
      <c r="AC147" s="308" t="e">
        <f>AC118/4</f>
        <v>#VALUE!</v>
      </c>
      <c r="AD147" s="305"/>
      <c r="AE147" s="305"/>
      <c r="AF147" s="305"/>
      <c r="AG147" s="305"/>
      <c r="AH147" s="310" t="e">
        <f t="shared" si="28"/>
        <v>#VALUE!</v>
      </c>
    </row>
    <row r="148" spans="1:34">
      <c r="C148" s="330">
        <f t="shared" si="29"/>
        <v>28</v>
      </c>
      <c r="D148" s="305"/>
      <c r="E148" s="305"/>
      <c r="F148" s="305"/>
      <c r="G148" s="305"/>
      <c r="H148" s="305"/>
      <c r="I148" s="305"/>
      <c r="J148" s="305"/>
      <c r="K148" s="305"/>
      <c r="L148" s="305"/>
      <c r="M148" s="305"/>
      <c r="N148" s="305"/>
      <c r="O148" s="305"/>
      <c r="P148" s="305" t="e">
        <f t="shared" si="32"/>
        <v>#VALUE!</v>
      </c>
      <c r="Q148" s="305" t="e">
        <f t="shared" si="32"/>
        <v>#VALUE!</v>
      </c>
      <c r="R148" s="305" t="e">
        <f t="shared" si="32"/>
        <v>#VALUE!</v>
      </c>
      <c r="S148" s="305" t="e">
        <f t="shared" si="31"/>
        <v>#VALUE!</v>
      </c>
      <c r="T148" s="305" t="e">
        <f t="shared" si="31"/>
        <v>#VALUE!</v>
      </c>
      <c r="U148" s="305" t="e">
        <f t="shared" si="31"/>
        <v>#VALUE!</v>
      </c>
      <c r="V148" s="305" t="e">
        <f t="shared" si="31"/>
        <v>#VALUE!</v>
      </c>
      <c r="W148" s="305" t="e">
        <f t="shared" si="31"/>
        <v>#VALUE!</v>
      </c>
      <c r="X148" s="305" t="e">
        <f t="shared" si="31"/>
        <v>#VALUE!</v>
      </c>
      <c r="Y148" s="305" t="e">
        <f t="shared" si="31"/>
        <v>#VALUE!</v>
      </c>
      <c r="Z148" s="305" t="e">
        <f t="shared" si="31"/>
        <v>#VALUE!</v>
      </c>
      <c r="AA148" s="305" t="e">
        <f>AA147</f>
        <v>#VALUE!</v>
      </c>
      <c r="AB148" s="305" t="e">
        <f>AB147</f>
        <v>#VALUE!</v>
      </c>
      <c r="AC148" s="305" t="e">
        <f>AC147</f>
        <v>#VALUE!</v>
      </c>
      <c r="AD148" s="308" t="e">
        <f>AD118/3</f>
        <v>#VALUE!</v>
      </c>
      <c r="AE148" s="305"/>
      <c r="AF148" s="305"/>
      <c r="AG148" s="305"/>
      <c r="AH148" s="310" t="e">
        <f t="shared" si="28"/>
        <v>#VALUE!</v>
      </c>
    </row>
    <row r="149" spans="1:34">
      <c r="C149" s="307">
        <f t="shared" si="29"/>
        <v>29</v>
      </c>
      <c r="D149" s="305"/>
      <c r="E149" s="305"/>
      <c r="F149" s="305"/>
      <c r="G149" s="305"/>
      <c r="H149" s="305"/>
      <c r="I149" s="305"/>
      <c r="J149" s="305"/>
      <c r="K149" s="305"/>
      <c r="L149" s="305"/>
      <c r="M149" s="305"/>
      <c r="N149" s="305"/>
      <c r="O149" s="305"/>
      <c r="P149" s="305"/>
      <c r="Q149" s="305" t="e">
        <f t="shared" si="32"/>
        <v>#VALUE!</v>
      </c>
      <c r="R149" s="305" t="e">
        <f t="shared" si="32"/>
        <v>#VALUE!</v>
      </c>
      <c r="S149" s="305" t="e">
        <f t="shared" si="31"/>
        <v>#VALUE!</v>
      </c>
      <c r="T149" s="305" t="e">
        <f t="shared" si="31"/>
        <v>#VALUE!</v>
      </c>
      <c r="U149" s="305" t="e">
        <f t="shared" si="31"/>
        <v>#VALUE!</v>
      </c>
      <c r="V149" s="305" t="e">
        <f t="shared" si="31"/>
        <v>#VALUE!</v>
      </c>
      <c r="W149" s="305" t="e">
        <f t="shared" si="31"/>
        <v>#VALUE!</v>
      </c>
      <c r="X149" s="305" t="e">
        <f t="shared" si="31"/>
        <v>#VALUE!</v>
      </c>
      <c r="Y149" s="305" t="e">
        <f t="shared" si="31"/>
        <v>#VALUE!</v>
      </c>
      <c r="Z149" s="305" t="e">
        <f t="shared" si="31"/>
        <v>#VALUE!</v>
      </c>
      <c r="AA149" s="305" t="e">
        <f>AA148</f>
        <v>#VALUE!</v>
      </c>
      <c r="AB149" s="305" t="e">
        <f>AB148</f>
        <v>#VALUE!</v>
      </c>
      <c r="AC149" s="305" t="e">
        <f>AC148</f>
        <v>#VALUE!</v>
      </c>
      <c r="AD149" s="305" t="e">
        <f>AD148</f>
        <v>#VALUE!</v>
      </c>
      <c r="AE149" s="308" t="e">
        <f>AE118/2</f>
        <v>#VALUE!</v>
      </c>
      <c r="AF149" s="305"/>
      <c r="AG149" s="305"/>
      <c r="AH149" s="310" t="e">
        <f t="shared" si="28"/>
        <v>#VALUE!</v>
      </c>
    </row>
    <row r="150" spans="1:34" ht="13.5" thickBot="1">
      <c r="C150" s="307">
        <f t="shared" si="29"/>
        <v>30</v>
      </c>
      <c r="D150" s="305"/>
      <c r="E150" s="305"/>
      <c r="F150" s="305"/>
      <c r="G150" s="305"/>
      <c r="H150" s="305"/>
      <c r="I150" s="305"/>
      <c r="J150" s="305"/>
      <c r="K150" s="305"/>
      <c r="L150" s="305"/>
      <c r="M150" s="305"/>
      <c r="N150" s="305"/>
      <c r="O150" s="305"/>
      <c r="P150" s="305"/>
      <c r="Q150" s="305"/>
      <c r="R150" s="305" t="e">
        <f t="shared" si="32"/>
        <v>#VALUE!</v>
      </c>
      <c r="S150" s="305" t="e">
        <f t="shared" si="31"/>
        <v>#VALUE!</v>
      </c>
      <c r="T150" s="305" t="e">
        <f t="shared" si="31"/>
        <v>#VALUE!</v>
      </c>
      <c r="U150" s="305" t="e">
        <f t="shared" si="31"/>
        <v>#VALUE!</v>
      </c>
      <c r="V150" s="305" t="e">
        <f t="shared" si="31"/>
        <v>#VALUE!</v>
      </c>
      <c r="W150" s="305" t="e">
        <f t="shared" si="31"/>
        <v>#VALUE!</v>
      </c>
      <c r="X150" s="305" t="e">
        <f t="shared" si="31"/>
        <v>#VALUE!</v>
      </c>
      <c r="Y150" s="305" t="e">
        <f t="shared" si="31"/>
        <v>#VALUE!</v>
      </c>
      <c r="Z150" s="305" t="e">
        <f t="shared" si="31"/>
        <v>#VALUE!</v>
      </c>
      <c r="AA150" s="305" t="e">
        <f>AA149</f>
        <v>#VALUE!</v>
      </c>
      <c r="AB150" s="305" t="e">
        <f>AB149</f>
        <v>#VALUE!</v>
      </c>
      <c r="AC150" s="305" t="e">
        <f>AC149</f>
        <v>#VALUE!</v>
      </c>
      <c r="AD150" s="305" t="e">
        <f>AD149</f>
        <v>#VALUE!</v>
      </c>
      <c r="AE150" s="305" t="e">
        <f>AE149</f>
        <v>#VALUE!</v>
      </c>
      <c r="AF150" s="308" t="e">
        <f>AF118</f>
        <v>#VALUE!</v>
      </c>
      <c r="AG150" s="305"/>
      <c r="AH150" s="310" t="e">
        <f t="shared" si="28"/>
        <v>#VALUE!</v>
      </c>
    </row>
    <row r="151" spans="1:34" ht="14.25" thickTop="1" thickBot="1">
      <c r="C151" s="311" t="s">
        <v>0</v>
      </c>
      <c r="D151" s="328" t="e">
        <f t="shared" ref="D151:AH151" si="33">SUM(D120:D150)</f>
        <v>#VALUE!</v>
      </c>
      <c r="E151" s="328" t="e">
        <f t="shared" si="33"/>
        <v>#VALUE!</v>
      </c>
      <c r="F151" s="328" t="e">
        <f t="shared" si="33"/>
        <v>#VALUE!</v>
      </c>
      <c r="G151" s="328" t="e">
        <f t="shared" si="33"/>
        <v>#VALUE!</v>
      </c>
      <c r="H151" s="328" t="e">
        <f t="shared" si="33"/>
        <v>#VALUE!</v>
      </c>
      <c r="I151" s="328" t="e">
        <f t="shared" si="33"/>
        <v>#VALUE!</v>
      </c>
      <c r="J151" s="328" t="e">
        <f t="shared" si="33"/>
        <v>#VALUE!</v>
      </c>
      <c r="K151" s="328" t="e">
        <f t="shared" si="33"/>
        <v>#VALUE!</v>
      </c>
      <c r="L151" s="328" t="e">
        <f t="shared" si="33"/>
        <v>#VALUE!</v>
      </c>
      <c r="M151" s="328" t="e">
        <f t="shared" si="33"/>
        <v>#VALUE!</v>
      </c>
      <c r="N151" s="328" t="e">
        <f t="shared" si="33"/>
        <v>#VALUE!</v>
      </c>
      <c r="O151" s="328" t="e">
        <f t="shared" si="33"/>
        <v>#VALUE!</v>
      </c>
      <c r="P151" s="328" t="e">
        <f t="shared" si="33"/>
        <v>#VALUE!</v>
      </c>
      <c r="Q151" s="328" t="e">
        <f t="shared" si="33"/>
        <v>#VALUE!</v>
      </c>
      <c r="R151" s="328" t="e">
        <f t="shared" si="33"/>
        <v>#VALUE!</v>
      </c>
      <c r="S151" s="328" t="e">
        <f t="shared" si="33"/>
        <v>#VALUE!</v>
      </c>
      <c r="T151" s="328" t="e">
        <f t="shared" si="33"/>
        <v>#VALUE!</v>
      </c>
      <c r="U151" s="328" t="e">
        <f t="shared" si="33"/>
        <v>#VALUE!</v>
      </c>
      <c r="V151" s="328" t="e">
        <f t="shared" si="33"/>
        <v>#VALUE!</v>
      </c>
      <c r="W151" s="328" t="e">
        <f t="shared" si="33"/>
        <v>#VALUE!</v>
      </c>
      <c r="X151" s="328" t="e">
        <f t="shared" si="33"/>
        <v>#VALUE!</v>
      </c>
      <c r="Y151" s="328" t="e">
        <f t="shared" si="33"/>
        <v>#VALUE!</v>
      </c>
      <c r="Z151" s="328" t="e">
        <f t="shared" si="33"/>
        <v>#VALUE!</v>
      </c>
      <c r="AA151" s="328" t="e">
        <f t="shared" si="33"/>
        <v>#VALUE!</v>
      </c>
      <c r="AB151" s="328" t="e">
        <f t="shared" si="33"/>
        <v>#VALUE!</v>
      </c>
      <c r="AC151" s="328" t="e">
        <f t="shared" si="33"/>
        <v>#VALUE!</v>
      </c>
      <c r="AD151" s="328" t="e">
        <f t="shared" si="33"/>
        <v>#VALUE!</v>
      </c>
      <c r="AE151" s="328" t="e">
        <f t="shared" si="33"/>
        <v>#VALUE!</v>
      </c>
      <c r="AF151" s="329" t="e">
        <f t="shared" si="33"/>
        <v>#VALUE!</v>
      </c>
      <c r="AG151" s="328">
        <f t="shared" si="33"/>
        <v>0</v>
      </c>
      <c r="AH151" s="315" t="e">
        <f t="shared" si="33"/>
        <v>#VALUE!</v>
      </c>
    </row>
    <row r="153" spans="1:34" ht="13.5" thickBot="1"/>
    <row r="154" spans="1:34">
      <c r="A154" s="292">
        <v>0</v>
      </c>
      <c r="B154" s="13" t="e">
        <v>#VALUE!</v>
      </c>
      <c r="C154" s="293" t="s">
        <v>257</v>
      </c>
      <c r="D154" s="294"/>
      <c r="E154" s="295">
        <v>12</v>
      </c>
      <c r="F154" s="294"/>
      <c r="G154" s="294"/>
      <c r="H154" s="294"/>
      <c r="I154" s="294"/>
      <c r="J154" s="294"/>
      <c r="K154" s="294"/>
      <c r="L154" s="294"/>
      <c r="M154" s="294"/>
      <c r="N154" s="294"/>
      <c r="O154" s="294"/>
      <c r="P154" s="294"/>
      <c r="Q154" s="294"/>
      <c r="R154" s="294"/>
      <c r="S154" s="294"/>
      <c r="T154" s="294"/>
      <c r="U154" s="294"/>
      <c r="V154" s="294"/>
      <c r="W154" s="294"/>
      <c r="X154" s="294"/>
      <c r="Y154" s="294"/>
      <c r="Z154" s="294"/>
      <c r="AA154" s="294"/>
      <c r="AB154" s="294"/>
      <c r="AC154" s="294"/>
      <c r="AD154" s="294"/>
      <c r="AE154" s="294"/>
      <c r="AF154" s="294"/>
      <c r="AG154" s="294"/>
      <c r="AH154" s="296"/>
    </row>
    <row r="155" spans="1:34">
      <c r="A155" s="297">
        <v>0</v>
      </c>
      <c r="B155" s="15" t="e">
        <f>AH155</f>
        <v>#VALUE!</v>
      </c>
      <c r="C155" s="298" t="s">
        <v>256</v>
      </c>
      <c r="D155" s="299" t="e">
        <v>#VALUE!</v>
      </c>
      <c r="E155" s="299" t="e">
        <v>#VALUE!</v>
      </c>
      <c r="F155" s="299" t="e">
        <v>#VALUE!</v>
      </c>
      <c r="G155" s="299" t="e">
        <v>#VALUE!</v>
      </c>
      <c r="H155" s="299" t="e">
        <v>#VALUE!</v>
      </c>
      <c r="I155" s="299" t="e">
        <v>#VALUE!</v>
      </c>
      <c r="J155" s="299" t="e">
        <v>#VALUE!</v>
      </c>
      <c r="K155" s="299" t="e">
        <v>#VALUE!</v>
      </c>
      <c r="L155" s="299" t="e">
        <v>#VALUE!</v>
      </c>
      <c r="M155" s="299" t="e">
        <v>#VALUE!</v>
      </c>
      <c r="N155" s="299" t="e">
        <v>#VALUE!</v>
      </c>
      <c r="O155" s="299" t="e">
        <v>#VALUE!</v>
      </c>
      <c r="P155" s="299" t="e">
        <v>#VALUE!</v>
      </c>
      <c r="Q155" s="299" t="e">
        <v>#VALUE!</v>
      </c>
      <c r="R155" s="299" t="e">
        <v>#VALUE!</v>
      </c>
      <c r="S155" s="299" t="e">
        <v>#VALUE!</v>
      </c>
      <c r="T155" s="299" t="e">
        <v>#VALUE!</v>
      </c>
      <c r="U155" s="299" t="e">
        <v>#VALUE!</v>
      </c>
      <c r="V155" s="299" t="e">
        <v>#VALUE!</v>
      </c>
      <c r="W155" s="299" t="e">
        <v>#VALUE!</v>
      </c>
      <c r="X155" s="299" t="e">
        <v>#VALUE!</v>
      </c>
      <c r="Y155" s="299" t="e">
        <v>#VALUE!</v>
      </c>
      <c r="Z155" s="299" t="e">
        <v>#VALUE!</v>
      </c>
      <c r="AA155" s="299" t="e">
        <v>#VALUE!</v>
      </c>
      <c r="AB155" s="299" t="e">
        <v>#VALUE!</v>
      </c>
      <c r="AC155" s="299" t="e">
        <v>#VALUE!</v>
      </c>
      <c r="AD155" s="299" t="e">
        <v>#VALUE!</v>
      </c>
      <c r="AE155" s="299" t="e">
        <v>#VALUE!</v>
      </c>
      <c r="AF155" s="299" t="e">
        <v>#VALUE!</v>
      </c>
      <c r="AG155" s="299" t="e">
        <v>#VALUE!</v>
      </c>
      <c r="AH155" s="300" t="e">
        <f>SUM(D155:AG155)</f>
        <v>#VALUE!</v>
      </c>
    </row>
    <row r="156" spans="1:34">
      <c r="C156" s="301" t="s">
        <v>1</v>
      </c>
      <c r="D156" s="302">
        <v>1</v>
      </c>
      <c r="E156" s="302">
        <f t="shared" ref="E156:AG156" si="34">D156+1</f>
        <v>2</v>
      </c>
      <c r="F156" s="302">
        <f t="shared" si="34"/>
        <v>3</v>
      </c>
      <c r="G156" s="302">
        <f t="shared" si="34"/>
        <v>4</v>
      </c>
      <c r="H156" s="302">
        <f t="shared" si="34"/>
        <v>5</v>
      </c>
      <c r="I156" s="302">
        <f t="shared" si="34"/>
        <v>6</v>
      </c>
      <c r="J156" s="302">
        <f t="shared" si="34"/>
        <v>7</v>
      </c>
      <c r="K156" s="302">
        <f t="shared" si="34"/>
        <v>8</v>
      </c>
      <c r="L156" s="302">
        <f t="shared" si="34"/>
        <v>9</v>
      </c>
      <c r="M156" s="302">
        <f t="shared" si="34"/>
        <v>10</v>
      </c>
      <c r="N156" s="302">
        <f t="shared" si="34"/>
        <v>11</v>
      </c>
      <c r="O156" s="302">
        <f t="shared" si="34"/>
        <v>12</v>
      </c>
      <c r="P156" s="302">
        <f t="shared" si="34"/>
        <v>13</v>
      </c>
      <c r="Q156" s="302">
        <f t="shared" si="34"/>
        <v>14</v>
      </c>
      <c r="R156" s="302">
        <f t="shared" si="34"/>
        <v>15</v>
      </c>
      <c r="S156" s="302">
        <f t="shared" si="34"/>
        <v>16</v>
      </c>
      <c r="T156" s="302">
        <f t="shared" si="34"/>
        <v>17</v>
      </c>
      <c r="U156" s="302">
        <f t="shared" si="34"/>
        <v>18</v>
      </c>
      <c r="V156" s="302">
        <f t="shared" si="34"/>
        <v>19</v>
      </c>
      <c r="W156" s="302">
        <f t="shared" si="34"/>
        <v>20</v>
      </c>
      <c r="X156" s="302">
        <f t="shared" si="34"/>
        <v>21</v>
      </c>
      <c r="Y156" s="302">
        <f t="shared" si="34"/>
        <v>22</v>
      </c>
      <c r="Z156" s="302">
        <f t="shared" si="34"/>
        <v>23</v>
      </c>
      <c r="AA156" s="302">
        <f t="shared" si="34"/>
        <v>24</v>
      </c>
      <c r="AB156" s="302">
        <f t="shared" si="34"/>
        <v>25</v>
      </c>
      <c r="AC156" s="302">
        <f t="shared" si="34"/>
        <v>26</v>
      </c>
      <c r="AD156" s="302">
        <f t="shared" si="34"/>
        <v>27</v>
      </c>
      <c r="AE156" s="302">
        <f t="shared" si="34"/>
        <v>28</v>
      </c>
      <c r="AF156" s="302">
        <f t="shared" si="34"/>
        <v>29</v>
      </c>
      <c r="AG156" s="302">
        <f t="shared" si="34"/>
        <v>30</v>
      </c>
      <c r="AH156" s="303" t="s">
        <v>0</v>
      </c>
    </row>
    <row r="157" spans="1:34">
      <c r="C157" s="304">
        <v>0</v>
      </c>
      <c r="D157" s="305"/>
      <c r="E157" s="305"/>
      <c r="F157" s="305"/>
      <c r="G157" s="305"/>
      <c r="H157" s="305"/>
      <c r="I157" s="305"/>
      <c r="J157" s="305"/>
      <c r="K157" s="305"/>
      <c r="L157" s="305"/>
      <c r="M157" s="305"/>
      <c r="N157" s="305"/>
      <c r="O157" s="305"/>
      <c r="P157" s="305"/>
      <c r="Q157" s="305"/>
      <c r="R157" s="305"/>
      <c r="S157" s="305"/>
      <c r="T157" s="305"/>
      <c r="U157" s="305"/>
      <c r="V157" s="305"/>
      <c r="W157" s="305"/>
      <c r="X157" s="305"/>
      <c r="Y157" s="305"/>
      <c r="Z157" s="305"/>
      <c r="AA157" s="305"/>
      <c r="AB157" s="305"/>
      <c r="AC157" s="305"/>
      <c r="AD157" s="305"/>
      <c r="AE157" s="305"/>
      <c r="AF157" s="305"/>
      <c r="AG157" s="305"/>
      <c r="AH157" s="306">
        <f t="shared" ref="AH157:AH187" si="35">SUM(D157:AG157)</f>
        <v>0</v>
      </c>
    </row>
    <row r="158" spans="1:34">
      <c r="C158" s="304">
        <f t="shared" ref="C158:C187" si="36">1+C157</f>
        <v>1</v>
      </c>
      <c r="D158" s="305"/>
      <c r="E158" s="305"/>
      <c r="F158" s="305"/>
      <c r="G158" s="305"/>
      <c r="H158" s="305"/>
      <c r="I158" s="305"/>
      <c r="J158" s="305"/>
      <c r="K158" s="305"/>
      <c r="L158" s="305"/>
      <c r="M158" s="305"/>
      <c r="N158" s="305"/>
      <c r="O158" s="305"/>
      <c r="P158" s="305"/>
      <c r="Q158" s="305"/>
      <c r="R158" s="305"/>
      <c r="S158" s="305"/>
      <c r="T158" s="305"/>
      <c r="U158" s="305"/>
      <c r="V158" s="305"/>
      <c r="W158" s="305"/>
      <c r="X158" s="305"/>
      <c r="Y158" s="305"/>
      <c r="Z158" s="305"/>
      <c r="AA158" s="305"/>
      <c r="AB158" s="305"/>
      <c r="AC158" s="305"/>
      <c r="AD158" s="305"/>
      <c r="AE158" s="305"/>
      <c r="AF158" s="305"/>
      <c r="AG158" s="305"/>
      <c r="AH158" s="310">
        <f t="shared" si="35"/>
        <v>0</v>
      </c>
    </row>
    <row r="159" spans="1:34">
      <c r="C159" s="304">
        <f t="shared" si="36"/>
        <v>2</v>
      </c>
      <c r="D159" s="308" t="e">
        <f>D$155/12</f>
        <v>#VALUE!</v>
      </c>
      <c r="E159" s="305"/>
      <c r="F159" s="305"/>
      <c r="G159" s="305"/>
      <c r="H159" s="305"/>
      <c r="I159" s="305"/>
      <c r="J159" s="305"/>
      <c r="K159" s="305"/>
      <c r="L159" s="305"/>
      <c r="M159" s="305"/>
      <c r="N159" s="305"/>
      <c r="O159" s="305"/>
      <c r="P159" s="305"/>
      <c r="Q159" s="305"/>
      <c r="R159" s="305"/>
      <c r="S159" s="305"/>
      <c r="T159" s="305"/>
      <c r="U159" s="305"/>
      <c r="V159" s="305"/>
      <c r="W159" s="305"/>
      <c r="X159" s="305"/>
      <c r="Y159" s="305"/>
      <c r="Z159" s="305"/>
      <c r="AA159" s="305"/>
      <c r="AB159" s="305"/>
      <c r="AC159" s="305"/>
      <c r="AD159" s="305"/>
      <c r="AE159" s="305"/>
      <c r="AF159" s="305"/>
      <c r="AG159" s="305"/>
      <c r="AH159" s="310" t="e">
        <f t="shared" si="35"/>
        <v>#VALUE!</v>
      </c>
    </row>
    <row r="160" spans="1:34">
      <c r="C160" s="304">
        <f t="shared" si="36"/>
        <v>3</v>
      </c>
      <c r="D160" s="305" t="e">
        <f t="shared" ref="D160:O175" si="37">D159</f>
        <v>#VALUE!</v>
      </c>
      <c r="E160" s="308" t="e">
        <f>E$155/12</f>
        <v>#VALUE!</v>
      </c>
      <c r="F160" s="305"/>
      <c r="G160" s="305"/>
      <c r="H160" s="305"/>
      <c r="I160" s="305"/>
      <c r="J160" s="305"/>
      <c r="K160" s="305"/>
      <c r="L160" s="305"/>
      <c r="M160" s="305"/>
      <c r="N160" s="305"/>
      <c r="O160" s="305"/>
      <c r="P160" s="305"/>
      <c r="Q160" s="305"/>
      <c r="R160" s="305"/>
      <c r="S160" s="305"/>
      <c r="T160" s="305"/>
      <c r="U160" s="305"/>
      <c r="V160" s="305"/>
      <c r="W160" s="305"/>
      <c r="X160" s="305"/>
      <c r="Y160" s="305"/>
      <c r="Z160" s="305"/>
      <c r="AA160" s="305"/>
      <c r="AB160" s="305"/>
      <c r="AC160" s="305"/>
      <c r="AD160" s="305"/>
      <c r="AE160" s="305"/>
      <c r="AF160" s="305"/>
      <c r="AG160" s="305"/>
      <c r="AH160" s="310" t="e">
        <f t="shared" si="35"/>
        <v>#VALUE!</v>
      </c>
    </row>
    <row r="161" spans="3:34">
      <c r="C161" s="304">
        <f t="shared" si="36"/>
        <v>4</v>
      </c>
      <c r="D161" s="305" t="e">
        <f t="shared" si="37"/>
        <v>#VALUE!</v>
      </c>
      <c r="E161" s="305" t="e">
        <f t="shared" si="37"/>
        <v>#VALUE!</v>
      </c>
      <c r="F161" s="308" t="e">
        <f>F$155/12</f>
        <v>#VALUE!</v>
      </c>
      <c r="G161" s="305"/>
      <c r="H161" s="305"/>
      <c r="I161" s="305"/>
      <c r="J161" s="305"/>
      <c r="K161" s="305"/>
      <c r="L161" s="305"/>
      <c r="M161" s="305"/>
      <c r="N161" s="305"/>
      <c r="O161" s="305"/>
      <c r="P161" s="305"/>
      <c r="Q161" s="305"/>
      <c r="R161" s="305"/>
      <c r="S161" s="305"/>
      <c r="T161" s="305"/>
      <c r="U161" s="305"/>
      <c r="V161" s="305"/>
      <c r="W161" s="305"/>
      <c r="X161" s="305"/>
      <c r="Y161" s="305"/>
      <c r="Z161" s="305"/>
      <c r="AA161" s="305"/>
      <c r="AB161" s="305"/>
      <c r="AC161" s="305"/>
      <c r="AD161" s="305"/>
      <c r="AE161" s="305"/>
      <c r="AF161" s="305"/>
      <c r="AG161" s="305"/>
      <c r="AH161" s="310" t="e">
        <f t="shared" si="35"/>
        <v>#VALUE!</v>
      </c>
    </row>
    <row r="162" spans="3:34">
      <c r="C162" s="304">
        <f t="shared" si="36"/>
        <v>5</v>
      </c>
      <c r="D162" s="305" t="e">
        <f t="shared" si="37"/>
        <v>#VALUE!</v>
      </c>
      <c r="E162" s="305" t="e">
        <f t="shared" si="37"/>
        <v>#VALUE!</v>
      </c>
      <c r="F162" s="305" t="e">
        <f t="shared" si="37"/>
        <v>#VALUE!</v>
      </c>
      <c r="G162" s="308" t="e">
        <f>G$155/12</f>
        <v>#VALUE!</v>
      </c>
      <c r="H162" s="305"/>
      <c r="I162" s="305"/>
      <c r="J162" s="305"/>
      <c r="K162" s="305"/>
      <c r="L162" s="305"/>
      <c r="M162" s="305"/>
      <c r="N162" s="305"/>
      <c r="O162" s="305"/>
      <c r="P162" s="305"/>
      <c r="Q162" s="305"/>
      <c r="R162" s="305"/>
      <c r="S162" s="305"/>
      <c r="T162" s="305"/>
      <c r="U162" s="305"/>
      <c r="V162" s="305"/>
      <c r="W162" s="305"/>
      <c r="X162" s="305"/>
      <c r="Y162" s="305"/>
      <c r="Z162" s="305"/>
      <c r="AA162" s="305"/>
      <c r="AB162" s="305"/>
      <c r="AC162" s="305"/>
      <c r="AD162" s="305"/>
      <c r="AE162" s="305"/>
      <c r="AF162" s="305"/>
      <c r="AG162" s="305"/>
      <c r="AH162" s="310" t="e">
        <f t="shared" si="35"/>
        <v>#VALUE!</v>
      </c>
    </row>
    <row r="163" spans="3:34">
      <c r="C163" s="304">
        <f t="shared" si="36"/>
        <v>6</v>
      </c>
      <c r="D163" s="305" t="e">
        <f t="shared" si="37"/>
        <v>#VALUE!</v>
      </c>
      <c r="E163" s="305" t="e">
        <f t="shared" si="37"/>
        <v>#VALUE!</v>
      </c>
      <c r="F163" s="305" t="e">
        <f t="shared" si="37"/>
        <v>#VALUE!</v>
      </c>
      <c r="G163" s="305" t="e">
        <f t="shared" si="37"/>
        <v>#VALUE!</v>
      </c>
      <c r="H163" s="308" t="e">
        <f>H$155/12</f>
        <v>#VALUE!</v>
      </c>
      <c r="I163" s="305"/>
      <c r="J163" s="305"/>
      <c r="K163" s="305"/>
      <c r="L163" s="305"/>
      <c r="M163" s="305"/>
      <c r="N163" s="305"/>
      <c r="O163" s="305"/>
      <c r="P163" s="305"/>
      <c r="Q163" s="305"/>
      <c r="R163" s="305"/>
      <c r="S163" s="305"/>
      <c r="T163" s="305"/>
      <c r="U163" s="305"/>
      <c r="V163" s="305"/>
      <c r="W163" s="305"/>
      <c r="X163" s="305"/>
      <c r="Y163" s="305"/>
      <c r="Z163" s="305"/>
      <c r="AA163" s="305"/>
      <c r="AB163" s="305"/>
      <c r="AC163" s="305"/>
      <c r="AD163" s="305"/>
      <c r="AE163" s="305"/>
      <c r="AF163" s="305"/>
      <c r="AG163" s="305"/>
      <c r="AH163" s="310" t="e">
        <f t="shared" si="35"/>
        <v>#VALUE!</v>
      </c>
    </row>
    <row r="164" spans="3:34">
      <c r="C164" s="304">
        <f t="shared" si="36"/>
        <v>7</v>
      </c>
      <c r="D164" s="305" t="e">
        <f t="shared" si="37"/>
        <v>#VALUE!</v>
      </c>
      <c r="E164" s="305" t="e">
        <f t="shared" si="37"/>
        <v>#VALUE!</v>
      </c>
      <c r="F164" s="305" t="e">
        <f t="shared" si="37"/>
        <v>#VALUE!</v>
      </c>
      <c r="G164" s="305" t="e">
        <f t="shared" si="37"/>
        <v>#VALUE!</v>
      </c>
      <c r="H164" s="305" t="e">
        <f t="shared" si="37"/>
        <v>#VALUE!</v>
      </c>
      <c r="I164" s="308" t="e">
        <f>I$155/12</f>
        <v>#VALUE!</v>
      </c>
      <c r="J164" s="325"/>
      <c r="K164" s="305"/>
      <c r="L164" s="305"/>
      <c r="M164" s="305"/>
      <c r="N164" s="305"/>
      <c r="O164" s="305"/>
      <c r="P164" s="305"/>
      <c r="Q164" s="305"/>
      <c r="R164" s="305"/>
      <c r="S164" s="305"/>
      <c r="T164" s="305"/>
      <c r="U164" s="305"/>
      <c r="V164" s="305"/>
      <c r="W164" s="305"/>
      <c r="X164" s="305"/>
      <c r="Y164" s="305"/>
      <c r="Z164" s="305"/>
      <c r="AA164" s="305"/>
      <c r="AB164" s="305"/>
      <c r="AC164" s="305"/>
      <c r="AD164" s="305"/>
      <c r="AE164" s="305"/>
      <c r="AF164" s="305"/>
      <c r="AG164" s="305"/>
      <c r="AH164" s="310" t="e">
        <f t="shared" si="35"/>
        <v>#VALUE!</v>
      </c>
    </row>
    <row r="165" spans="3:34">
      <c r="C165" s="304">
        <f t="shared" si="36"/>
        <v>8</v>
      </c>
      <c r="D165" s="305" t="e">
        <f t="shared" si="37"/>
        <v>#VALUE!</v>
      </c>
      <c r="E165" s="305" t="e">
        <f t="shared" si="37"/>
        <v>#VALUE!</v>
      </c>
      <c r="F165" s="305" t="e">
        <f t="shared" si="37"/>
        <v>#VALUE!</v>
      </c>
      <c r="G165" s="305" t="e">
        <f t="shared" si="37"/>
        <v>#VALUE!</v>
      </c>
      <c r="H165" s="305" t="e">
        <f t="shared" si="37"/>
        <v>#VALUE!</v>
      </c>
      <c r="I165" s="305" t="e">
        <f t="shared" si="37"/>
        <v>#VALUE!</v>
      </c>
      <c r="J165" s="308" t="e">
        <f>J$155/12</f>
        <v>#VALUE!</v>
      </c>
      <c r="K165" s="305"/>
      <c r="L165" s="305"/>
      <c r="M165" s="305"/>
      <c r="N165" s="305"/>
      <c r="O165" s="305"/>
      <c r="P165" s="305"/>
      <c r="Q165" s="305"/>
      <c r="R165" s="305"/>
      <c r="S165" s="305"/>
      <c r="T165" s="305"/>
      <c r="U165" s="305"/>
      <c r="V165" s="305"/>
      <c r="W165" s="305"/>
      <c r="X165" s="305"/>
      <c r="Y165" s="305"/>
      <c r="Z165" s="305"/>
      <c r="AA165" s="305"/>
      <c r="AB165" s="305"/>
      <c r="AC165" s="305"/>
      <c r="AD165" s="305"/>
      <c r="AE165" s="305"/>
      <c r="AF165" s="305"/>
      <c r="AG165" s="305"/>
      <c r="AH165" s="310" t="e">
        <f t="shared" si="35"/>
        <v>#VALUE!</v>
      </c>
    </row>
    <row r="166" spans="3:34">
      <c r="C166" s="304">
        <f t="shared" si="36"/>
        <v>9</v>
      </c>
      <c r="D166" s="305" t="e">
        <f t="shared" si="37"/>
        <v>#VALUE!</v>
      </c>
      <c r="E166" s="305" t="e">
        <f t="shared" si="37"/>
        <v>#VALUE!</v>
      </c>
      <c r="F166" s="305" t="e">
        <f t="shared" si="37"/>
        <v>#VALUE!</v>
      </c>
      <c r="G166" s="305" t="e">
        <f t="shared" si="37"/>
        <v>#VALUE!</v>
      </c>
      <c r="H166" s="305" t="e">
        <f t="shared" si="37"/>
        <v>#VALUE!</v>
      </c>
      <c r="I166" s="305" t="e">
        <f t="shared" si="37"/>
        <v>#VALUE!</v>
      </c>
      <c r="J166" s="305" t="e">
        <f t="shared" si="37"/>
        <v>#VALUE!</v>
      </c>
      <c r="K166" s="308" t="e">
        <f>K$155/12</f>
        <v>#VALUE!</v>
      </c>
      <c r="L166" s="305"/>
      <c r="M166" s="305"/>
      <c r="N166" s="305"/>
      <c r="O166" s="305"/>
      <c r="P166" s="305"/>
      <c r="Q166" s="305"/>
      <c r="R166" s="305"/>
      <c r="S166" s="305"/>
      <c r="T166" s="305"/>
      <c r="U166" s="305"/>
      <c r="V166" s="305"/>
      <c r="W166" s="305"/>
      <c r="X166" s="305"/>
      <c r="Y166" s="305"/>
      <c r="Z166" s="305"/>
      <c r="AA166" s="305"/>
      <c r="AB166" s="305"/>
      <c r="AC166" s="305"/>
      <c r="AD166" s="305"/>
      <c r="AE166" s="305"/>
      <c r="AF166" s="305"/>
      <c r="AG166" s="305"/>
      <c r="AH166" s="310" t="e">
        <f t="shared" si="35"/>
        <v>#VALUE!</v>
      </c>
    </row>
    <row r="167" spans="3:34">
      <c r="C167" s="304">
        <f t="shared" si="36"/>
        <v>10</v>
      </c>
      <c r="D167" s="305" t="e">
        <f t="shared" si="37"/>
        <v>#VALUE!</v>
      </c>
      <c r="E167" s="305" t="e">
        <f t="shared" si="37"/>
        <v>#VALUE!</v>
      </c>
      <c r="F167" s="305" t="e">
        <f t="shared" si="37"/>
        <v>#VALUE!</v>
      </c>
      <c r="G167" s="305" t="e">
        <f t="shared" si="37"/>
        <v>#VALUE!</v>
      </c>
      <c r="H167" s="305" t="e">
        <f t="shared" si="37"/>
        <v>#VALUE!</v>
      </c>
      <c r="I167" s="305" t="e">
        <f t="shared" si="37"/>
        <v>#VALUE!</v>
      </c>
      <c r="J167" s="305" t="e">
        <f t="shared" si="37"/>
        <v>#VALUE!</v>
      </c>
      <c r="K167" s="305" t="e">
        <f t="shared" si="37"/>
        <v>#VALUE!</v>
      </c>
      <c r="L167" s="308" t="e">
        <f>L$155/12</f>
        <v>#VALUE!</v>
      </c>
      <c r="M167" s="305"/>
      <c r="N167" s="305"/>
      <c r="O167" s="305"/>
      <c r="P167" s="305"/>
      <c r="Q167" s="305"/>
      <c r="R167" s="305"/>
      <c r="S167" s="305"/>
      <c r="T167" s="305"/>
      <c r="U167" s="305"/>
      <c r="V167" s="305"/>
      <c r="W167" s="305"/>
      <c r="X167" s="305"/>
      <c r="Y167" s="305"/>
      <c r="Z167" s="305"/>
      <c r="AA167" s="305"/>
      <c r="AB167" s="305"/>
      <c r="AC167" s="305"/>
      <c r="AD167" s="305"/>
      <c r="AE167" s="305"/>
      <c r="AF167" s="305"/>
      <c r="AG167" s="305"/>
      <c r="AH167" s="310" t="e">
        <f t="shared" si="35"/>
        <v>#VALUE!</v>
      </c>
    </row>
    <row r="168" spans="3:34">
      <c r="C168" s="304">
        <f t="shared" si="36"/>
        <v>11</v>
      </c>
      <c r="D168" s="305" t="e">
        <f t="shared" si="37"/>
        <v>#VALUE!</v>
      </c>
      <c r="E168" s="305" t="e">
        <f t="shared" si="37"/>
        <v>#VALUE!</v>
      </c>
      <c r="F168" s="305" t="e">
        <f t="shared" si="37"/>
        <v>#VALUE!</v>
      </c>
      <c r="G168" s="305" t="e">
        <f t="shared" si="37"/>
        <v>#VALUE!</v>
      </c>
      <c r="H168" s="305" t="e">
        <f t="shared" si="37"/>
        <v>#VALUE!</v>
      </c>
      <c r="I168" s="305" t="e">
        <f t="shared" si="37"/>
        <v>#VALUE!</v>
      </c>
      <c r="J168" s="305" t="e">
        <f t="shared" si="37"/>
        <v>#VALUE!</v>
      </c>
      <c r="K168" s="305" t="e">
        <f t="shared" si="37"/>
        <v>#VALUE!</v>
      </c>
      <c r="L168" s="305" t="e">
        <f t="shared" si="37"/>
        <v>#VALUE!</v>
      </c>
      <c r="M168" s="308" t="e">
        <f>M$155/12</f>
        <v>#VALUE!</v>
      </c>
      <c r="N168" s="305"/>
      <c r="O168" s="305"/>
      <c r="P168" s="305"/>
      <c r="Q168" s="305"/>
      <c r="R168" s="305"/>
      <c r="S168" s="305"/>
      <c r="T168" s="305"/>
      <c r="U168" s="305"/>
      <c r="V168" s="305"/>
      <c r="W168" s="305"/>
      <c r="X168" s="305"/>
      <c r="Y168" s="305"/>
      <c r="Z168" s="305"/>
      <c r="AA168" s="305"/>
      <c r="AB168" s="305"/>
      <c r="AC168" s="305"/>
      <c r="AD168" s="305"/>
      <c r="AE168" s="305"/>
      <c r="AF168" s="305"/>
      <c r="AG168" s="305"/>
      <c r="AH168" s="310" t="e">
        <f t="shared" si="35"/>
        <v>#VALUE!</v>
      </c>
    </row>
    <row r="169" spans="3:34">
      <c r="C169" s="304">
        <f t="shared" si="36"/>
        <v>12</v>
      </c>
      <c r="D169" s="305" t="e">
        <f t="shared" si="37"/>
        <v>#VALUE!</v>
      </c>
      <c r="E169" s="305" t="e">
        <f t="shared" si="37"/>
        <v>#VALUE!</v>
      </c>
      <c r="F169" s="305" t="e">
        <f t="shared" si="37"/>
        <v>#VALUE!</v>
      </c>
      <c r="G169" s="305" t="e">
        <f t="shared" si="37"/>
        <v>#VALUE!</v>
      </c>
      <c r="H169" s="305" t="e">
        <f t="shared" si="37"/>
        <v>#VALUE!</v>
      </c>
      <c r="I169" s="305" t="e">
        <f t="shared" si="37"/>
        <v>#VALUE!</v>
      </c>
      <c r="J169" s="305" t="e">
        <f t="shared" si="37"/>
        <v>#VALUE!</v>
      </c>
      <c r="K169" s="305" t="e">
        <f t="shared" si="37"/>
        <v>#VALUE!</v>
      </c>
      <c r="L169" s="305" t="e">
        <f t="shared" si="37"/>
        <v>#VALUE!</v>
      </c>
      <c r="M169" s="305" t="e">
        <f t="shared" si="37"/>
        <v>#VALUE!</v>
      </c>
      <c r="N169" s="308" t="e">
        <f>N$155/12</f>
        <v>#VALUE!</v>
      </c>
      <c r="O169" s="305"/>
      <c r="P169" s="305"/>
      <c r="Q169" s="305"/>
      <c r="R169" s="305"/>
      <c r="S169" s="305"/>
      <c r="T169" s="305"/>
      <c r="U169" s="305"/>
      <c r="V169" s="305"/>
      <c r="W169" s="305"/>
      <c r="X169" s="305"/>
      <c r="Y169" s="305"/>
      <c r="Z169" s="305"/>
      <c r="AA169" s="305"/>
      <c r="AB169" s="305"/>
      <c r="AC169" s="305"/>
      <c r="AD169" s="305"/>
      <c r="AE169" s="305"/>
      <c r="AF169" s="305"/>
      <c r="AG169" s="305"/>
      <c r="AH169" s="310" t="e">
        <f t="shared" si="35"/>
        <v>#VALUE!</v>
      </c>
    </row>
    <row r="170" spans="3:34">
      <c r="C170" s="304">
        <f t="shared" si="36"/>
        <v>13</v>
      </c>
      <c r="D170" s="305" t="e">
        <f t="shared" si="37"/>
        <v>#VALUE!</v>
      </c>
      <c r="E170" s="305" t="e">
        <f t="shared" si="37"/>
        <v>#VALUE!</v>
      </c>
      <c r="F170" s="305" t="e">
        <f t="shared" si="37"/>
        <v>#VALUE!</v>
      </c>
      <c r="G170" s="305" t="e">
        <f t="shared" si="37"/>
        <v>#VALUE!</v>
      </c>
      <c r="H170" s="305" t="e">
        <f t="shared" si="37"/>
        <v>#VALUE!</v>
      </c>
      <c r="I170" s="305" t="e">
        <f t="shared" si="37"/>
        <v>#VALUE!</v>
      </c>
      <c r="J170" s="305" t="e">
        <f t="shared" si="37"/>
        <v>#VALUE!</v>
      </c>
      <c r="K170" s="305" t="e">
        <f t="shared" si="37"/>
        <v>#VALUE!</v>
      </c>
      <c r="L170" s="305" t="e">
        <f t="shared" si="37"/>
        <v>#VALUE!</v>
      </c>
      <c r="M170" s="305" t="e">
        <f t="shared" si="37"/>
        <v>#VALUE!</v>
      </c>
      <c r="N170" s="305" t="e">
        <f t="shared" si="37"/>
        <v>#VALUE!</v>
      </c>
      <c r="O170" s="308" t="e">
        <f>O$155/12</f>
        <v>#VALUE!</v>
      </c>
      <c r="P170" s="325"/>
      <c r="Q170" s="305"/>
      <c r="R170" s="305"/>
      <c r="S170" s="305"/>
      <c r="T170" s="305"/>
      <c r="U170" s="305"/>
      <c r="V170" s="305"/>
      <c r="W170" s="305"/>
      <c r="X170" s="305"/>
      <c r="Y170" s="305"/>
      <c r="Z170" s="305"/>
      <c r="AA170" s="305"/>
      <c r="AB170" s="305"/>
      <c r="AC170" s="305"/>
      <c r="AD170" s="305"/>
      <c r="AE170" s="305"/>
      <c r="AF170" s="305"/>
      <c r="AG170" s="305"/>
      <c r="AH170" s="310" t="e">
        <f t="shared" si="35"/>
        <v>#VALUE!</v>
      </c>
    </row>
    <row r="171" spans="3:34">
      <c r="C171" s="304">
        <f t="shared" si="36"/>
        <v>14</v>
      </c>
      <c r="D171" s="305"/>
      <c r="E171" s="305" t="e">
        <f t="shared" si="37"/>
        <v>#VALUE!</v>
      </c>
      <c r="F171" s="305" t="e">
        <f t="shared" si="37"/>
        <v>#VALUE!</v>
      </c>
      <c r="G171" s="305" t="e">
        <f t="shared" si="37"/>
        <v>#VALUE!</v>
      </c>
      <c r="H171" s="305" t="e">
        <f t="shared" si="37"/>
        <v>#VALUE!</v>
      </c>
      <c r="I171" s="305" t="e">
        <f t="shared" si="37"/>
        <v>#VALUE!</v>
      </c>
      <c r="J171" s="305" t="e">
        <f t="shared" si="37"/>
        <v>#VALUE!</v>
      </c>
      <c r="K171" s="305" t="e">
        <f t="shared" si="37"/>
        <v>#VALUE!</v>
      </c>
      <c r="L171" s="305" t="e">
        <f t="shared" si="37"/>
        <v>#VALUE!</v>
      </c>
      <c r="M171" s="305" t="e">
        <f t="shared" si="37"/>
        <v>#VALUE!</v>
      </c>
      <c r="N171" s="305" t="e">
        <f t="shared" si="37"/>
        <v>#VALUE!</v>
      </c>
      <c r="O171" s="305" t="e">
        <f t="shared" si="37"/>
        <v>#VALUE!</v>
      </c>
      <c r="P171" s="308" t="e">
        <f>P$155/12</f>
        <v>#VALUE!</v>
      </c>
      <c r="Q171" s="305"/>
      <c r="R171" s="305"/>
      <c r="S171" s="305"/>
      <c r="T171" s="305"/>
      <c r="U171" s="305"/>
      <c r="V171" s="305"/>
      <c r="W171" s="305"/>
      <c r="X171" s="305"/>
      <c r="Y171" s="305"/>
      <c r="Z171" s="305"/>
      <c r="AA171" s="305"/>
      <c r="AB171" s="305"/>
      <c r="AC171" s="305"/>
      <c r="AD171" s="305"/>
      <c r="AE171" s="305"/>
      <c r="AF171" s="305"/>
      <c r="AG171" s="305"/>
      <c r="AH171" s="310" t="e">
        <f t="shared" si="35"/>
        <v>#VALUE!</v>
      </c>
    </row>
    <row r="172" spans="3:34">
      <c r="C172" s="304">
        <f t="shared" si="36"/>
        <v>15</v>
      </c>
      <c r="D172" s="305"/>
      <c r="E172" s="305"/>
      <c r="F172" s="305" t="e">
        <f t="shared" si="37"/>
        <v>#VALUE!</v>
      </c>
      <c r="G172" s="305" t="e">
        <f t="shared" si="37"/>
        <v>#VALUE!</v>
      </c>
      <c r="H172" s="305" t="e">
        <f t="shared" si="37"/>
        <v>#VALUE!</v>
      </c>
      <c r="I172" s="305" t="e">
        <f t="shared" si="37"/>
        <v>#VALUE!</v>
      </c>
      <c r="J172" s="305" t="e">
        <f t="shared" si="37"/>
        <v>#VALUE!</v>
      </c>
      <c r="K172" s="305" t="e">
        <f t="shared" si="37"/>
        <v>#VALUE!</v>
      </c>
      <c r="L172" s="305" t="e">
        <f t="shared" si="37"/>
        <v>#VALUE!</v>
      </c>
      <c r="M172" s="305" t="e">
        <f t="shared" si="37"/>
        <v>#VALUE!</v>
      </c>
      <c r="N172" s="305" t="e">
        <f t="shared" si="37"/>
        <v>#VALUE!</v>
      </c>
      <c r="O172" s="305" t="e">
        <f t="shared" si="37"/>
        <v>#VALUE!</v>
      </c>
      <c r="P172" s="305" t="e">
        <f>P171</f>
        <v>#VALUE!</v>
      </c>
      <c r="Q172" s="308" t="e">
        <f>Q$155/12</f>
        <v>#VALUE!</v>
      </c>
      <c r="R172" s="305"/>
      <c r="S172" s="305"/>
      <c r="T172" s="305"/>
      <c r="U172" s="305"/>
      <c r="V172" s="305"/>
      <c r="W172" s="305"/>
      <c r="X172" s="305"/>
      <c r="Y172" s="305"/>
      <c r="Z172" s="305"/>
      <c r="AA172" s="305"/>
      <c r="AB172" s="305"/>
      <c r="AC172" s="305"/>
      <c r="AD172" s="305"/>
      <c r="AE172" s="305"/>
      <c r="AF172" s="305"/>
      <c r="AG172" s="305"/>
      <c r="AH172" s="310" t="e">
        <f t="shared" si="35"/>
        <v>#VALUE!</v>
      </c>
    </row>
    <row r="173" spans="3:34">
      <c r="C173" s="304">
        <f t="shared" si="36"/>
        <v>16</v>
      </c>
      <c r="D173" s="305"/>
      <c r="E173" s="305"/>
      <c r="F173" s="305"/>
      <c r="G173" s="305" t="e">
        <f t="shared" si="37"/>
        <v>#VALUE!</v>
      </c>
      <c r="H173" s="305" t="e">
        <f t="shared" si="37"/>
        <v>#VALUE!</v>
      </c>
      <c r="I173" s="305" t="e">
        <f t="shared" si="37"/>
        <v>#VALUE!</v>
      </c>
      <c r="J173" s="305" t="e">
        <f t="shared" si="37"/>
        <v>#VALUE!</v>
      </c>
      <c r="K173" s="305" t="e">
        <f t="shared" si="37"/>
        <v>#VALUE!</v>
      </c>
      <c r="L173" s="305" t="e">
        <f t="shared" si="37"/>
        <v>#VALUE!</v>
      </c>
      <c r="M173" s="305" t="e">
        <f t="shared" si="37"/>
        <v>#VALUE!</v>
      </c>
      <c r="N173" s="305" t="e">
        <f t="shared" si="37"/>
        <v>#VALUE!</v>
      </c>
      <c r="O173" s="305" t="e">
        <f t="shared" si="37"/>
        <v>#VALUE!</v>
      </c>
      <c r="P173" s="305" t="e">
        <f>P172</f>
        <v>#VALUE!</v>
      </c>
      <c r="Q173" s="305" t="e">
        <f>Q172</f>
        <v>#VALUE!</v>
      </c>
      <c r="R173" s="308" t="e">
        <f>R$155/12</f>
        <v>#VALUE!</v>
      </c>
      <c r="S173" s="305"/>
      <c r="T173" s="305"/>
      <c r="U173" s="305"/>
      <c r="V173" s="305"/>
      <c r="W173" s="305"/>
      <c r="X173" s="305"/>
      <c r="Y173" s="305"/>
      <c r="Z173" s="305"/>
      <c r="AA173" s="305"/>
      <c r="AB173" s="305"/>
      <c r="AC173" s="305"/>
      <c r="AD173" s="305"/>
      <c r="AE173" s="305"/>
      <c r="AF173" s="305"/>
      <c r="AG173" s="305"/>
      <c r="AH173" s="310" t="e">
        <f t="shared" si="35"/>
        <v>#VALUE!</v>
      </c>
    </row>
    <row r="174" spans="3:34">
      <c r="C174" s="304">
        <f t="shared" si="36"/>
        <v>17</v>
      </c>
      <c r="D174" s="305"/>
      <c r="E174" s="305"/>
      <c r="F174" s="305"/>
      <c r="G174" s="305"/>
      <c r="H174" s="305" t="e">
        <f t="shared" si="37"/>
        <v>#VALUE!</v>
      </c>
      <c r="I174" s="305" t="e">
        <f t="shared" si="37"/>
        <v>#VALUE!</v>
      </c>
      <c r="J174" s="305" t="e">
        <f t="shared" si="37"/>
        <v>#VALUE!</v>
      </c>
      <c r="K174" s="305" t="e">
        <f t="shared" si="37"/>
        <v>#VALUE!</v>
      </c>
      <c r="L174" s="305" t="e">
        <f t="shared" si="37"/>
        <v>#VALUE!</v>
      </c>
      <c r="M174" s="305" t="e">
        <f t="shared" si="37"/>
        <v>#VALUE!</v>
      </c>
      <c r="N174" s="305" t="e">
        <f t="shared" si="37"/>
        <v>#VALUE!</v>
      </c>
      <c r="O174" s="305" t="e">
        <f t="shared" si="37"/>
        <v>#VALUE!</v>
      </c>
      <c r="P174" s="305" t="e">
        <f>P173</f>
        <v>#VALUE!</v>
      </c>
      <c r="Q174" s="305" t="e">
        <f>Q173</f>
        <v>#VALUE!</v>
      </c>
      <c r="R174" s="305" t="e">
        <f>R173</f>
        <v>#VALUE!</v>
      </c>
      <c r="S174" s="308" t="e">
        <f>S$155/12</f>
        <v>#VALUE!</v>
      </c>
      <c r="T174" s="305"/>
      <c r="U174" s="305"/>
      <c r="V174" s="305"/>
      <c r="W174" s="305"/>
      <c r="X174" s="305"/>
      <c r="Y174" s="305"/>
      <c r="Z174" s="305"/>
      <c r="AA174" s="305"/>
      <c r="AB174" s="305"/>
      <c r="AC174" s="305"/>
      <c r="AD174" s="305"/>
      <c r="AE174" s="305"/>
      <c r="AF174" s="305"/>
      <c r="AG174" s="305"/>
      <c r="AH174" s="310" t="e">
        <f t="shared" si="35"/>
        <v>#VALUE!</v>
      </c>
    </row>
    <row r="175" spans="3:34">
      <c r="C175" s="304">
        <f t="shared" si="36"/>
        <v>18</v>
      </c>
      <c r="D175" s="305"/>
      <c r="E175" s="305"/>
      <c r="F175" s="305"/>
      <c r="G175" s="305"/>
      <c r="H175" s="305"/>
      <c r="I175" s="305" t="e">
        <f t="shared" si="37"/>
        <v>#VALUE!</v>
      </c>
      <c r="J175" s="305" t="e">
        <f t="shared" si="37"/>
        <v>#VALUE!</v>
      </c>
      <c r="K175" s="305" t="e">
        <f t="shared" si="37"/>
        <v>#VALUE!</v>
      </c>
      <c r="L175" s="305" t="e">
        <f t="shared" si="37"/>
        <v>#VALUE!</v>
      </c>
      <c r="M175" s="305" t="e">
        <f t="shared" si="37"/>
        <v>#VALUE!</v>
      </c>
      <c r="N175" s="305" t="e">
        <f t="shared" si="37"/>
        <v>#VALUE!</v>
      </c>
      <c r="O175" s="305" t="e">
        <f t="shared" si="37"/>
        <v>#VALUE!</v>
      </c>
      <c r="P175" s="305" t="e">
        <f>P174</f>
        <v>#VALUE!</v>
      </c>
      <c r="Q175" s="305" t="e">
        <f>Q174</f>
        <v>#VALUE!</v>
      </c>
      <c r="R175" s="305" t="e">
        <f>R174</f>
        <v>#VALUE!</v>
      </c>
      <c r="S175" s="305" t="e">
        <f>S174</f>
        <v>#VALUE!</v>
      </c>
      <c r="T175" s="308" t="e">
        <f>T$155/12</f>
        <v>#VALUE!</v>
      </c>
      <c r="U175" s="305"/>
      <c r="V175" s="305"/>
      <c r="W175" s="305"/>
      <c r="X175" s="305"/>
      <c r="Y175" s="305"/>
      <c r="Z175" s="305"/>
      <c r="AA175" s="305"/>
      <c r="AB175" s="305"/>
      <c r="AC175" s="305"/>
      <c r="AD175" s="305"/>
      <c r="AE175" s="305"/>
      <c r="AF175" s="305"/>
      <c r="AG175" s="305"/>
      <c r="AH175" s="310" t="e">
        <f t="shared" si="35"/>
        <v>#VALUE!</v>
      </c>
    </row>
    <row r="176" spans="3:34">
      <c r="C176" s="304">
        <f t="shared" si="36"/>
        <v>19</v>
      </c>
      <c r="D176" s="305"/>
      <c r="E176" s="305"/>
      <c r="F176" s="305"/>
      <c r="G176" s="305"/>
      <c r="H176" s="305"/>
      <c r="I176" s="305"/>
      <c r="J176" s="305" t="e">
        <f t="shared" ref="J176:Y187" si="38">J175</f>
        <v>#VALUE!</v>
      </c>
      <c r="K176" s="305" t="e">
        <f t="shared" si="38"/>
        <v>#VALUE!</v>
      </c>
      <c r="L176" s="305" t="e">
        <f t="shared" si="38"/>
        <v>#VALUE!</v>
      </c>
      <c r="M176" s="305" t="e">
        <f t="shared" si="38"/>
        <v>#VALUE!</v>
      </c>
      <c r="N176" s="305" t="e">
        <f t="shared" si="38"/>
        <v>#VALUE!</v>
      </c>
      <c r="O176" s="305" t="e">
        <f t="shared" si="38"/>
        <v>#VALUE!</v>
      </c>
      <c r="P176" s="305" t="e">
        <f>P175</f>
        <v>#VALUE!</v>
      </c>
      <c r="Q176" s="305" t="e">
        <f>Q175</f>
        <v>#VALUE!</v>
      </c>
      <c r="R176" s="305" t="e">
        <f>R175</f>
        <v>#VALUE!</v>
      </c>
      <c r="S176" s="305" t="e">
        <f>S175</f>
        <v>#VALUE!</v>
      </c>
      <c r="T176" s="305" t="e">
        <f>T175</f>
        <v>#VALUE!</v>
      </c>
      <c r="U176" s="308" t="e">
        <f>U$155/12</f>
        <v>#VALUE!</v>
      </c>
      <c r="V176" s="305"/>
      <c r="W176" s="305"/>
      <c r="X176" s="305"/>
      <c r="Y176" s="305"/>
      <c r="Z176" s="305"/>
      <c r="AA176" s="305"/>
      <c r="AB176" s="305"/>
      <c r="AC176" s="305"/>
      <c r="AD176" s="305"/>
      <c r="AE176" s="305"/>
      <c r="AF176" s="305"/>
      <c r="AG176" s="305"/>
      <c r="AH176" s="310" t="e">
        <f t="shared" si="35"/>
        <v>#VALUE!</v>
      </c>
    </row>
    <row r="177" spans="1:34">
      <c r="C177" s="304">
        <f t="shared" si="36"/>
        <v>20</v>
      </c>
      <c r="D177" s="305"/>
      <c r="E177" s="305"/>
      <c r="F177" s="305"/>
      <c r="G177" s="305"/>
      <c r="H177" s="305"/>
      <c r="I177" s="305"/>
      <c r="J177" s="305"/>
      <c r="K177" s="305" t="e">
        <f t="shared" si="38"/>
        <v>#VALUE!</v>
      </c>
      <c r="L177" s="305" t="e">
        <f t="shared" si="38"/>
        <v>#VALUE!</v>
      </c>
      <c r="M177" s="305" t="e">
        <f t="shared" si="38"/>
        <v>#VALUE!</v>
      </c>
      <c r="N177" s="305" t="e">
        <f t="shared" si="38"/>
        <v>#VALUE!</v>
      </c>
      <c r="O177" s="305" t="e">
        <f t="shared" si="38"/>
        <v>#VALUE!</v>
      </c>
      <c r="P177" s="305" t="e">
        <f t="shared" si="38"/>
        <v>#VALUE!</v>
      </c>
      <c r="Q177" s="305" t="e">
        <f t="shared" si="38"/>
        <v>#VALUE!</v>
      </c>
      <c r="R177" s="305" t="e">
        <f t="shared" si="38"/>
        <v>#VALUE!</v>
      </c>
      <c r="S177" s="305" t="e">
        <f t="shared" si="38"/>
        <v>#VALUE!</v>
      </c>
      <c r="T177" s="305" t="e">
        <f>T176</f>
        <v>#VALUE!</v>
      </c>
      <c r="U177" s="305" t="e">
        <f>U176</f>
        <v>#VALUE!</v>
      </c>
      <c r="V177" s="308" t="e">
        <f>V155/11</f>
        <v>#VALUE!</v>
      </c>
      <c r="W177" s="305"/>
      <c r="X177" s="305"/>
      <c r="Y177" s="305"/>
      <c r="Z177" s="305"/>
      <c r="AA177" s="305"/>
      <c r="AB177" s="305"/>
      <c r="AC177" s="305"/>
      <c r="AD177" s="305"/>
      <c r="AE177" s="305"/>
      <c r="AF177" s="305"/>
      <c r="AG177" s="305"/>
      <c r="AH177" s="310" t="e">
        <f t="shared" si="35"/>
        <v>#VALUE!</v>
      </c>
    </row>
    <row r="178" spans="1:34">
      <c r="C178" s="304">
        <f t="shared" si="36"/>
        <v>21</v>
      </c>
      <c r="D178" s="305"/>
      <c r="E178" s="305"/>
      <c r="F178" s="305"/>
      <c r="G178" s="305"/>
      <c r="H178" s="305"/>
      <c r="I178" s="305"/>
      <c r="J178" s="305"/>
      <c r="K178" s="305"/>
      <c r="L178" s="305" t="e">
        <f t="shared" si="38"/>
        <v>#VALUE!</v>
      </c>
      <c r="M178" s="305" t="e">
        <f t="shared" si="38"/>
        <v>#VALUE!</v>
      </c>
      <c r="N178" s="305" t="e">
        <f t="shared" si="38"/>
        <v>#VALUE!</v>
      </c>
      <c r="O178" s="305" t="e">
        <f t="shared" si="38"/>
        <v>#VALUE!</v>
      </c>
      <c r="P178" s="305" t="e">
        <f t="shared" si="38"/>
        <v>#VALUE!</v>
      </c>
      <c r="Q178" s="305" t="e">
        <f t="shared" si="38"/>
        <v>#VALUE!</v>
      </c>
      <c r="R178" s="305" t="e">
        <f t="shared" si="38"/>
        <v>#VALUE!</v>
      </c>
      <c r="S178" s="305" t="e">
        <f t="shared" si="38"/>
        <v>#VALUE!</v>
      </c>
      <c r="T178" s="305" t="e">
        <f t="shared" si="38"/>
        <v>#VALUE!</v>
      </c>
      <c r="U178" s="305" t="e">
        <f>U177</f>
        <v>#VALUE!</v>
      </c>
      <c r="V178" s="305" t="e">
        <f>V177</f>
        <v>#VALUE!</v>
      </c>
      <c r="W178" s="308" t="e">
        <f>W155/10</f>
        <v>#VALUE!</v>
      </c>
      <c r="X178" s="305"/>
      <c r="Y178" s="305"/>
      <c r="Z178" s="305"/>
      <c r="AA178" s="305"/>
      <c r="AB178" s="305"/>
      <c r="AC178" s="305"/>
      <c r="AD178" s="305"/>
      <c r="AE178" s="305"/>
      <c r="AF178" s="305"/>
      <c r="AG178" s="305"/>
      <c r="AH178" s="310" t="e">
        <f t="shared" si="35"/>
        <v>#VALUE!</v>
      </c>
    </row>
    <row r="179" spans="1:34">
      <c r="C179" s="330">
        <f t="shared" si="36"/>
        <v>22</v>
      </c>
      <c r="D179" s="305"/>
      <c r="E179" s="305"/>
      <c r="F179" s="305"/>
      <c r="G179" s="305"/>
      <c r="H179" s="305"/>
      <c r="I179" s="305"/>
      <c r="J179" s="305"/>
      <c r="K179" s="305"/>
      <c r="L179" s="305"/>
      <c r="M179" s="305" t="e">
        <f t="shared" si="38"/>
        <v>#VALUE!</v>
      </c>
      <c r="N179" s="305" t="e">
        <f t="shared" si="38"/>
        <v>#VALUE!</v>
      </c>
      <c r="O179" s="305" t="e">
        <f t="shared" si="38"/>
        <v>#VALUE!</v>
      </c>
      <c r="P179" s="305" t="e">
        <f t="shared" si="38"/>
        <v>#VALUE!</v>
      </c>
      <c r="Q179" s="305" t="e">
        <f t="shared" si="38"/>
        <v>#VALUE!</v>
      </c>
      <c r="R179" s="305" t="e">
        <f t="shared" si="38"/>
        <v>#VALUE!</v>
      </c>
      <c r="S179" s="305" t="e">
        <f t="shared" si="38"/>
        <v>#VALUE!</v>
      </c>
      <c r="T179" s="305" t="e">
        <f t="shared" si="38"/>
        <v>#VALUE!</v>
      </c>
      <c r="U179" s="305" t="e">
        <f t="shared" si="38"/>
        <v>#VALUE!</v>
      </c>
      <c r="V179" s="305" t="e">
        <f t="shared" si="38"/>
        <v>#VALUE!</v>
      </c>
      <c r="W179" s="305" t="e">
        <f>W178</f>
        <v>#VALUE!</v>
      </c>
      <c r="X179" s="308" t="e">
        <f>X155/9</f>
        <v>#VALUE!</v>
      </c>
      <c r="Y179" s="305"/>
      <c r="Z179" s="305"/>
      <c r="AA179" s="305"/>
      <c r="AB179" s="305"/>
      <c r="AC179" s="305"/>
      <c r="AD179" s="305"/>
      <c r="AE179" s="305"/>
      <c r="AF179" s="305"/>
      <c r="AG179" s="305"/>
      <c r="AH179" s="310" t="e">
        <f t="shared" si="35"/>
        <v>#VALUE!</v>
      </c>
    </row>
    <row r="180" spans="1:34">
      <c r="C180" s="330">
        <f t="shared" si="36"/>
        <v>23</v>
      </c>
      <c r="D180" s="305"/>
      <c r="E180" s="305"/>
      <c r="F180" s="305"/>
      <c r="G180" s="305"/>
      <c r="H180" s="305"/>
      <c r="I180" s="305"/>
      <c r="J180" s="305"/>
      <c r="K180" s="305"/>
      <c r="L180" s="305"/>
      <c r="M180" s="305"/>
      <c r="N180" s="305" t="e">
        <f t="shared" si="38"/>
        <v>#VALUE!</v>
      </c>
      <c r="O180" s="305" t="e">
        <f t="shared" si="38"/>
        <v>#VALUE!</v>
      </c>
      <c r="P180" s="305" t="e">
        <f t="shared" si="38"/>
        <v>#VALUE!</v>
      </c>
      <c r="Q180" s="305" t="e">
        <f t="shared" si="38"/>
        <v>#VALUE!</v>
      </c>
      <c r="R180" s="305" t="e">
        <f t="shared" si="38"/>
        <v>#VALUE!</v>
      </c>
      <c r="S180" s="305" t="e">
        <f t="shared" si="38"/>
        <v>#VALUE!</v>
      </c>
      <c r="T180" s="305" t="e">
        <f t="shared" si="38"/>
        <v>#VALUE!</v>
      </c>
      <c r="U180" s="305" t="e">
        <f t="shared" si="38"/>
        <v>#VALUE!</v>
      </c>
      <c r="V180" s="305" t="e">
        <f t="shared" si="38"/>
        <v>#VALUE!</v>
      </c>
      <c r="W180" s="305" t="e">
        <f t="shared" si="38"/>
        <v>#VALUE!</v>
      </c>
      <c r="X180" s="305" t="e">
        <f>X179</f>
        <v>#VALUE!</v>
      </c>
      <c r="Y180" s="308" t="e">
        <f>Y155/8</f>
        <v>#VALUE!</v>
      </c>
      <c r="Z180" s="305"/>
      <c r="AA180" s="305"/>
      <c r="AB180" s="305"/>
      <c r="AC180" s="305"/>
      <c r="AD180" s="305"/>
      <c r="AE180" s="305"/>
      <c r="AF180" s="305"/>
      <c r="AG180" s="305"/>
      <c r="AH180" s="310" t="e">
        <f t="shared" si="35"/>
        <v>#VALUE!</v>
      </c>
    </row>
    <row r="181" spans="1:34">
      <c r="C181" s="330">
        <f t="shared" si="36"/>
        <v>24</v>
      </c>
      <c r="D181" s="305"/>
      <c r="E181" s="305"/>
      <c r="F181" s="305"/>
      <c r="G181" s="305"/>
      <c r="H181" s="305"/>
      <c r="I181" s="305"/>
      <c r="J181" s="305"/>
      <c r="K181" s="305"/>
      <c r="L181" s="305"/>
      <c r="M181" s="305"/>
      <c r="N181" s="305"/>
      <c r="O181" s="305" t="e">
        <f t="shared" si="38"/>
        <v>#VALUE!</v>
      </c>
      <c r="P181" s="305" t="e">
        <f t="shared" si="38"/>
        <v>#VALUE!</v>
      </c>
      <c r="Q181" s="305" t="e">
        <f t="shared" si="38"/>
        <v>#VALUE!</v>
      </c>
      <c r="R181" s="305" t="e">
        <f t="shared" si="38"/>
        <v>#VALUE!</v>
      </c>
      <c r="S181" s="305" t="e">
        <f t="shared" si="38"/>
        <v>#VALUE!</v>
      </c>
      <c r="T181" s="305" t="e">
        <f t="shared" si="38"/>
        <v>#VALUE!</v>
      </c>
      <c r="U181" s="305" t="e">
        <f t="shared" si="38"/>
        <v>#VALUE!</v>
      </c>
      <c r="V181" s="305" t="e">
        <f t="shared" si="38"/>
        <v>#VALUE!</v>
      </c>
      <c r="W181" s="305" t="e">
        <f t="shared" si="38"/>
        <v>#VALUE!</v>
      </c>
      <c r="X181" s="305" t="e">
        <f t="shared" si="38"/>
        <v>#VALUE!</v>
      </c>
      <c r="Y181" s="305" t="e">
        <f>Y180</f>
        <v>#VALUE!</v>
      </c>
      <c r="Z181" s="308" t="e">
        <f>Z155/7</f>
        <v>#VALUE!</v>
      </c>
      <c r="AA181" s="305"/>
      <c r="AB181" s="305"/>
      <c r="AC181" s="305"/>
      <c r="AD181" s="305"/>
      <c r="AE181" s="305"/>
      <c r="AF181" s="305"/>
      <c r="AG181" s="305"/>
      <c r="AH181" s="310" t="e">
        <f t="shared" si="35"/>
        <v>#VALUE!</v>
      </c>
    </row>
    <row r="182" spans="1:34">
      <c r="C182" s="330">
        <f t="shared" si="36"/>
        <v>25</v>
      </c>
      <c r="D182" s="305"/>
      <c r="E182" s="305"/>
      <c r="F182" s="305"/>
      <c r="G182" s="305"/>
      <c r="H182" s="305"/>
      <c r="I182" s="305"/>
      <c r="J182" s="305"/>
      <c r="K182" s="305"/>
      <c r="L182" s="305"/>
      <c r="M182" s="305"/>
      <c r="N182" s="305"/>
      <c r="O182" s="305"/>
      <c r="P182" s="305" t="e">
        <f t="shared" si="38"/>
        <v>#VALUE!</v>
      </c>
      <c r="Q182" s="305" t="e">
        <f t="shared" si="38"/>
        <v>#VALUE!</v>
      </c>
      <c r="R182" s="305" t="e">
        <f t="shared" si="38"/>
        <v>#VALUE!</v>
      </c>
      <c r="S182" s="305" t="e">
        <f t="shared" si="38"/>
        <v>#VALUE!</v>
      </c>
      <c r="T182" s="305" t="e">
        <f t="shared" si="38"/>
        <v>#VALUE!</v>
      </c>
      <c r="U182" s="305" t="e">
        <f t="shared" si="38"/>
        <v>#VALUE!</v>
      </c>
      <c r="V182" s="305" t="e">
        <f t="shared" si="38"/>
        <v>#VALUE!</v>
      </c>
      <c r="W182" s="305" t="e">
        <f t="shared" si="38"/>
        <v>#VALUE!</v>
      </c>
      <c r="X182" s="305" t="e">
        <f t="shared" si="38"/>
        <v>#VALUE!</v>
      </c>
      <c r="Y182" s="305" t="e">
        <f t="shared" si="38"/>
        <v>#VALUE!</v>
      </c>
      <c r="Z182" s="305" t="e">
        <f t="shared" ref="Z182:Z187" si="39">Z181</f>
        <v>#VALUE!</v>
      </c>
      <c r="AA182" s="308" t="e">
        <f>AA155/6</f>
        <v>#VALUE!</v>
      </c>
      <c r="AB182" s="305"/>
      <c r="AC182" s="305"/>
      <c r="AD182" s="305"/>
      <c r="AE182" s="305"/>
      <c r="AF182" s="305"/>
      <c r="AG182" s="305"/>
      <c r="AH182" s="310" t="e">
        <f t="shared" si="35"/>
        <v>#VALUE!</v>
      </c>
    </row>
    <row r="183" spans="1:34">
      <c r="C183" s="330">
        <f t="shared" si="36"/>
        <v>26</v>
      </c>
      <c r="D183" s="305"/>
      <c r="E183" s="305"/>
      <c r="F183" s="305"/>
      <c r="G183" s="305"/>
      <c r="H183" s="305"/>
      <c r="I183" s="305"/>
      <c r="J183" s="305"/>
      <c r="K183" s="305"/>
      <c r="L183" s="305"/>
      <c r="M183" s="305"/>
      <c r="N183" s="305"/>
      <c r="O183" s="305"/>
      <c r="P183" s="305"/>
      <c r="Q183" s="305" t="e">
        <f t="shared" si="38"/>
        <v>#VALUE!</v>
      </c>
      <c r="R183" s="305" t="e">
        <f t="shared" si="38"/>
        <v>#VALUE!</v>
      </c>
      <c r="S183" s="305" t="e">
        <f t="shared" si="38"/>
        <v>#VALUE!</v>
      </c>
      <c r="T183" s="305" t="e">
        <f t="shared" si="38"/>
        <v>#VALUE!</v>
      </c>
      <c r="U183" s="305" t="e">
        <f t="shared" si="38"/>
        <v>#VALUE!</v>
      </c>
      <c r="V183" s="305" t="e">
        <f t="shared" si="38"/>
        <v>#VALUE!</v>
      </c>
      <c r="W183" s="305" t="e">
        <f t="shared" si="38"/>
        <v>#VALUE!</v>
      </c>
      <c r="X183" s="305" t="e">
        <f t="shared" si="38"/>
        <v>#VALUE!</v>
      </c>
      <c r="Y183" s="305" t="e">
        <f t="shared" si="38"/>
        <v>#VALUE!</v>
      </c>
      <c r="Z183" s="305" t="e">
        <f t="shared" si="39"/>
        <v>#VALUE!</v>
      </c>
      <c r="AA183" s="305" t="e">
        <f>AA182</f>
        <v>#VALUE!</v>
      </c>
      <c r="AB183" s="308" t="e">
        <f>AB155/5</f>
        <v>#VALUE!</v>
      </c>
      <c r="AC183" s="305"/>
      <c r="AD183" s="305"/>
      <c r="AE183" s="305"/>
      <c r="AF183" s="305"/>
      <c r="AG183" s="305"/>
      <c r="AH183" s="310" t="e">
        <f t="shared" si="35"/>
        <v>#VALUE!</v>
      </c>
    </row>
    <row r="184" spans="1:34">
      <c r="C184" s="330">
        <f t="shared" si="36"/>
        <v>27</v>
      </c>
      <c r="D184" s="305"/>
      <c r="E184" s="305"/>
      <c r="F184" s="305"/>
      <c r="G184" s="305"/>
      <c r="H184" s="305"/>
      <c r="I184" s="305"/>
      <c r="J184" s="305"/>
      <c r="K184" s="305"/>
      <c r="L184" s="305"/>
      <c r="M184" s="305"/>
      <c r="N184" s="305"/>
      <c r="O184" s="305"/>
      <c r="P184" s="305"/>
      <c r="Q184" s="305"/>
      <c r="R184" s="305" t="e">
        <f t="shared" si="38"/>
        <v>#VALUE!</v>
      </c>
      <c r="S184" s="305" t="e">
        <f t="shared" si="38"/>
        <v>#VALUE!</v>
      </c>
      <c r="T184" s="305" t="e">
        <f t="shared" si="38"/>
        <v>#VALUE!</v>
      </c>
      <c r="U184" s="305" t="e">
        <f t="shared" si="38"/>
        <v>#VALUE!</v>
      </c>
      <c r="V184" s="305" t="e">
        <f t="shared" si="38"/>
        <v>#VALUE!</v>
      </c>
      <c r="W184" s="305" t="e">
        <f t="shared" si="38"/>
        <v>#VALUE!</v>
      </c>
      <c r="X184" s="305" t="e">
        <f t="shared" si="38"/>
        <v>#VALUE!</v>
      </c>
      <c r="Y184" s="305" t="e">
        <f t="shared" si="38"/>
        <v>#VALUE!</v>
      </c>
      <c r="Z184" s="305" t="e">
        <f t="shared" si="39"/>
        <v>#VALUE!</v>
      </c>
      <c r="AA184" s="305" t="e">
        <f>AA183</f>
        <v>#VALUE!</v>
      </c>
      <c r="AB184" s="305" t="e">
        <f>AB183</f>
        <v>#VALUE!</v>
      </c>
      <c r="AC184" s="308" t="e">
        <f>AC155/4</f>
        <v>#VALUE!</v>
      </c>
      <c r="AD184" s="305"/>
      <c r="AE184" s="305"/>
      <c r="AF184" s="305"/>
      <c r="AG184" s="305"/>
      <c r="AH184" s="310" t="e">
        <f t="shared" si="35"/>
        <v>#VALUE!</v>
      </c>
    </row>
    <row r="185" spans="1:34">
      <c r="C185" s="330">
        <f t="shared" si="36"/>
        <v>28</v>
      </c>
      <c r="D185" s="305"/>
      <c r="E185" s="305"/>
      <c r="F185" s="305"/>
      <c r="G185" s="305"/>
      <c r="H185" s="305"/>
      <c r="I185" s="305"/>
      <c r="J185" s="305"/>
      <c r="K185" s="305"/>
      <c r="L185" s="305"/>
      <c r="M185" s="305"/>
      <c r="N185" s="305"/>
      <c r="O185" s="305"/>
      <c r="P185" s="305"/>
      <c r="Q185" s="305"/>
      <c r="R185" s="305"/>
      <c r="S185" s="305" t="e">
        <f t="shared" si="38"/>
        <v>#VALUE!</v>
      </c>
      <c r="T185" s="305" t="e">
        <f t="shared" si="38"/>
        <v>#VALUE!</v>
      </c>
      <c r="U185" s="305" t="e">
        <f t="shared" si="38"/>
        <v>#VALUE!</v>
      </c>
      <c r="V185" s="305" t="e">
        <f t="shared" si="38"/>
        <v>#VALUE!</v>
      </c>
      <c r="W185" s="305" t="e">
        <f t="shared" si="38"/>
        <v>#VALUE!</v>
      </c>
      <c r="X185" s="305" t="e">
        <f t="shared" si="38"/>
        <v>#VALUE!</v>
      </c>
      <c r="Y185" s="305" t="e">
        <f t="shared" si="38"/>
        <v>#VALUE!</v>
      </c>
      <c r="Z185" s="305" t="e">
        <f t="shared" si="39"/>
        <v>#VALUE!</v>
      </c>
      <c r="AA185" s="305" t="e">
        <f>AA184</f>
        <v>#VALUE!</v>
      </c>
      <c r="AB185" s="305" t="e">
        <f>AB184</f>
        <v>#VALUE!</v>
      </c>
      <c r="AC185" s="305" t="e">
        <f>AC184</f>
        <v>#VALUE!</v>
      </c>
      <c r="AD185" s="308" t="e">
        <f>AD155/3</f>
        <v>#VALUE!</v>
      </c>
      <c r="AE185" s="305"/>
      <c r="AF185" s="305"/>
      <c r="AG185" s="305"/>
      <c r="AH185" s="310" t="e">
        <f t="shared" si="35"/>
        <v>#VALUE!</v>
      </c>
    </row>
    <row r="186" spans="1:34">
      <c r="C186" s="330">
        <f t="shared" si="36"/>
        <v>29</v>
      </c>
      <c r="D186" s="305"/>
      <c r="E186" s="305"/>
      <c r="F186" s="305"/>
      <c r="G186" s="305"/>
      <c r="H186" s="305"/>
      <c r="I186" s="305"/>
      <c r="J186" s="305"/>
      <c r="K186" s="305"/>
      <c r="L186" s="305"/>
      <c r="M186" s="305"/>
      <c r="N186" s="305"/>
      <c r="O186" s="305"/>
      <c r="P186" s="305"/>
      <c r="Q186" s="305"/>
      <c r="R186" s="305"/>
      <c r="S186" s="305"/>
      <c r="T186" s="305" t="e">
        <f t="shared" si="38"/>
        <v>#VALUE!</v>
      </c>
      <c r="U186" s="305" t="e">
        <f t="shared" si="38"/>
        <v>#VALUE!</v>
      </c>
      <c r="V186" s="305" t="e">
        <f t="shared" si="38"/>
        <v>#VALUE!</v>
      </c>
      <c r="W186" s="305" t="e">
        <f t="shared" si="38"/>
        <v>#VALUE!</v>
      </c>
      <c r="X186" s="305" t="e">
        <f t="shared" si="38"/>
        <v>#VALUE!</v>
      </c>
      <c r="Y186" s="305" t="e">
        <f t="shared" si="38"/>
        <v>#VALUE!</v>
      </c>
      <c r="Z186" s="305" t="e">
        <f t="shared" si="39"/>
        <v>#VALUE!</v>
      </c>
      <c r="AA186" s="305" t="e">
        <f>AA185</f>
        <v>#VALUE!</v>
      </c>
      <c r="AB186" s="305" t="e">
        <f>AB185</f>
        <v>#VALUE!</v>
      </c>
      <c r="AC186" s="305" t="e">
        <f>AC185</f>
        <v>#VALUE!</v>
      </c>
      <c r="AD186" s="305" t="e">
        <f>AD185</f>
        <v>#VALUE!</v>
      </c>
      <c r="AE186" s="308" t="e">
        <f>AE155/2</f>
        <v>#VALUE!</v>
      </c>
      <c r="AF186" s="305"/>
      <c r="AG186" s="305"/>
      <c r="AH186" s="310" t="e">
        <f t="shared" si="35"/>
        <v>#VALUE!</v>
      </c>
    </row>
    <row r="187" spans="1:34" ht="13.5" thickBot="1">
      <c r="C187" s="307">
        <f t="shared" si="36"/>
        <v>30</v>
      </c>
      <c r="D187" s="305"/>
      <c r="E187" s="305"/>
      <c r="F187" s="305"/>
      <c r="G187" s="305"/>
      <c r="H187" s="305"/>
      <c r="I187" s="305"/>
      <c r="J187" s="305"/>
      <c r="K187" s="305"/>
      <c r="L187" s="305"/>
      <c r="M187" s="305"/>
      <c r="N187" s="305"/>
      <c r="O187" s="305"/>
      <c r="P187" s="305"/>
      <c r="Q187" s="305"/>
      <c r="R187" s="305"/>
      <c r="S187" s="305"/>
      <c r="T187" s="305"/>
      <c r="U187" s="305" t="e">
        <f t="shared" si="38"/>
        <v>#VALUE!</v>
      </c>
      <c r="V187" s="305" t="e">
        <f t="shared" si="38"/>
        <v>#VALUE!</v>
      </c>
      <c r="W187" s="305" t="e">
        <f t="shared" si="38"/>
        <v>#VALUE!</v>
      </c>
      <c r="X187" s="305" t="e">
        <f t="shared" si="38"/>
        <v>#VALUE!</v>
      </c>
      <c r="Y187" s="305" t="e">
        <f t="shared" si="38"/>
        <v>#VALUE!</v>
      </c>
      <c r="Z187" s="305" t="e">
        <f t="shared" si="39"/>
        <v>#VALUE!</v>
      </c>
      <c r="AA187" s="305" t="e">
        <f>AA186</f>
        <v>#VALUE!</v>
      </c>
      <c r="AB187" s="305" t="e">
        <f>AB186</f>
        <v>#VALUE!</v>
      </c>
      <c r="AC187" s="305" t="e">
        <f>AC186</f>
        <v>#VALUE!</v>
      </c>
      <c r="AD187" s="305" t="e">
        <f>AD186</f>
        <v>#VALUE!</v>
      </c>
      <c r="AE187" s="305" t="e">
        <f>AE186</f>
        <v>#VALUE!</v>
      </c>
      <c r="AF187" s="308" t="e">
        <f>AF155</f>
        <v>#VALUE!</v>
      </c>
      <c r="AG187" s="308" t="e">
        <f>AG155</f>
        <v>#VALUE!</v>
      </c>
      <c r="AH187" s="310" t="e">
        <f t="shared" si="35"/>
        <v>#VALUE!</v>
      </c>
    </row>
    <row r="188" spans="1:34" ht="14.25" thickTop="1" thickBot="1">
      <c r="C188" s="311" t="s">
        <v>0</v>
      </c>
      <c r="D188" s="328" t="e">
        <f t="shared" ref="D188:AH188" si="40">SUM(D157:D187)</f>
        <v>#VALUE!</v>
      </c>
      <c r="E188" s="328" t="e">
        <f t="shared" si="40"/>
        <v>#VALUE!</v>
      </c>
      <c r="F188" s="328" t="e">
        <f t="shared" si="40"/>
        <v>#VALUE!</v>
      </c>
      <c r="G188" s="328" t="e">
        <f t="shared" si="40"/>
        <v>#VALUE!</v>
      </c>
      <c r="H188" s="328" t="e">
        <f t="shared" si="40"/>
        <v>#VALUE!</v>
      </c>
      <c r="I188" s="328" t="e">
        <f t="shared" si="40"/>
        <v>#VALUE!</v>
      </c>
      <c r="J188" s="328" t="e">
        <f t="shared" si="40"/>
        <v>#VALUE!</v>
      </c>
      <c r="K188" s="328" t="e">
        <f t="shared" si="40"/>
        <v>#VALUE!</v>
      </c>
      <c r="L188" s="328" t="e">
        <f t="shared" si="40"/>
        <v>#VALUE!</v>
      </c>
      <c r="M188" s="328" t="e">
        <f t="shared" si="40"/>
        <v>#VALUE!</v>
      </c>
      <c r="N188" s="328" t="e">
        <f t="shared" si="40"/>
        <v>#VALUE!</v>
      </c>
      <c r="O188" s="328" t="e">
        <f t="shared" si="40"/>
        <v>#VALUE!</v>
      </c>
      <c r="P188" s="328" t="e">
        <f t="shared" si="40"/>
        <v>#VALUE!</v>
      </c>
      <c r="Q188" s="328" t="e">
        <f t="shared" si="40"/>
        <v>#VALUE!</v>
      </c>
      <c r="R188" s="328" t="e">
        <f t="shared" si="40"/>
        <v>#VALUE!</v>
      </c>
      <c r="S188" s="328" t="e">
        <f t="shared" si="40"/>
        <v>#VALUE!</v>
      </c>
      <c r="T188" s="328" t="e">
        <f t="shared" si="40"/>
        <v>#VALUE!</v>
      </c>
      <c r="U188" s="328" t="e">
        <f t="shared" si="40"/>
        <v>#VALUE!</v>
      </c>
      <c r="V188" s="328" t="e">
        <f t="shared" si="40"/>
        <v>#VALUE!</v>
      </c>
      <c r="W188" s="328" t="e">
        <f t="shared" si="40"/>
        <v>#VALUE!</v>
      </c>
      <c r="X188" s="328" t="e">
        <f t="shared" si="40"/>
        <v>#VALUE!</v>
      </c>
      <c r="Y188" s="328" t="e">
        <f t="shared" si="40"/>
        <v>#VALUE!</v>
      </c>
      <c r="Z188" s="328" t="e">
        <f t="shared" si="40"/>
        <v>#VALUE!</v>
      </c>
      <c r="AA188" s="328" t="e">
        <f t="shared" si="40"/>
        <v>#VALUE!</v>
      </c>
      <c r="AB188" s="328" t="e">
        <f t="shared" si="40"/>
        <v>#VALUE!</v>
      </c>
      <c r="AC188" s="328" t="e">
        <f t="shared" si="40"/>
        <v>#VALUE!</v>
      </c>
      <c r="AD188" s="328" t="e">
        <f t="shared" si="40"/>
        <v>#VALUE!</v>
      </c>
      <c r="AE188" s="328" t="e">
        <f t="shared" si="40"/>
        <v>#VALUE!</v>
      </c>
      <c r="AF188" s="329" t="e">
        <f t="shared" si="40"/>
        <v>#VALUE!</v>
      </c>
      <c r="AG188" s="329" t="e">
        <f t="shared" si="40"/>
        <v>#VALUE!</v>
      </c>
      <c r="AH188" s="315" t="e">
        <f t="shared" si="40"/>
        <v>#VALUE!</v>
      </c>
    </row>
    <row r="189" spans="1:34">
      <c r="C189" s="331"/>
      <c r="D189" s="332"/>
      <c r="E189" s="332"/>
      <c r="F189" s="332"/>
      <c r="G189" s="332"/>
      <c r="H189" s="332"/>
      <c r="I189" s="332"/>
      <c r="J189" s="332"/>
      <c r="K189" s="332"/>
      <c r="L189" s="332"/>
      <c r="M189" s="332"/>
      <c r="N189" s="332"/>
      <c r="O189" s="332"/>
      <c r="P189" s="332"/>
      <c r="Q189" s="332"/>
      <c r="R189" s="332"/>
      <c r="S189" s="332"/>
      <c r="T189" s="332"/>
      <c r="U189" s="332"/>
      <c r="V189" s="332"/>
      <c r="W189" s="332"/>
      <c r="X189" s="332"/>
      <c r="Y189" s="332"/>
      <c r="Z189" s="332"/>
      <c r="AA189" s="332"/>
      <c r="AB189" s="332"/>
      <c r="AC189" s="332"/>
      <c r="AD189" s="332"/>
      <c r="AE189" s="332"/>
      <c r="AF189" s="332"/>
      <c r="AG189" s="332"/>
      <c r="AH189" s="333"/>
    </row>
    <row r="190" spans="1:34" ht="13.5" thickBot="1">
      <c r="C190" s="331"/>
      <c r="D190" s="332"/>
      <c r="E190" s="332"/>
      <c r="F190" s="332"/>
      <c r="G190" s="332"/>
      <c r="H190" s="332"/>
      <c r="I190" s="332"/>
      <c r="J190" s="332"/>
      <c r="K190" s="332"/>
      <c r="L190" s="332"/>
      <c r="M190" s="332"/>
      <c r="N190" s="332"/>
      <c r="O190" s="332"/>
      <c r="P190" s="332"/>
      <c r="Q190" s="332"/>
      <c r="R190" s="332"/>
      <c r="S190" s="332"/>
      <c r="T190" s="332"/>
      <c r="U190" s="332"/>
      <c r="V190" s="332"/>
      <c r="W190" s="332"/>
      <c r="X190" s="332"/>
      <c r="Y190" s="332"/>
      <c r="Z190" s="332"/>
      <c r="AA190" s="332"/>
      <c r="AB190" s="332"/>
      <c r="AC190" s="332"/>
      <c r="AD190" s="332"/>
      <c r="AE190" s="332"/>
      <c r="AF190" s="332"/>
      <c r="AG190" s="332"/>
      <c r="AH190" s="333"/>
    </row>
    <row r="191" spans="1:34">
      <c r="A191" s="292">
        <v>11</v>
      </c>
      <c r="B191" s="13" t="e">
        <v>#VALUE!</v>
      </c>
      <c r="C191" s="293" t="s">
        <v>257</v>
      </c>
      <c r="D191" s="294"/>
      <c r="E191" s="295">
        <v>10</v>
      </c>
      <c r="F191" s="294"/>
      <c r="G191" s="294"/>
      <c r="H191" s="294"/>
      <c r="I191" s="294"/>
      <c r="J191" s="294"/>
      <c r="K191" s="294"/>
      <c r="L191" s="294"/>
      <c r="M191" s="294"/>
      <c r="N191" s="294"/>
      <c r="O191" s="294"/>
      <c r="P191" s="294"/>
      <c r="Q191" s="294"/>
      <c r="R191" s="294"/>
      <c r="S191" s="294"/>
      <c r="T191" s="294"/>
      <c r="U191" s="294"/>
      <c r="V191" s="294"/>
      <c r="W191" s="294"/>
      <c r="X191" s="294"/>
      <c r="Y191" s="294"/>
      <c r="Z191" s="294"/>
      <c r="AA191" s="294"/>
      <c r="AB191" s="294"/>
      <c r="AC191" s="294"/>
      <c r="AD191" s="294"/>
      <c r="AE191" s="294"/>
      <c r="AF191" s="294"/>
      <c r="AG191" s="294"/>
      <c r="AH191" s="296"/>
    </row>
    <row r="192" spans="1:34">
      <c r="A192" s="297">
        <v>7739.055337390917</v>
      </c>
      <c r="B192" s="15" t="e">
        <f>AH192</f>
        <v>#VALUE!</v>
      </c>
      <c r="C192" s="298" t="s">
        <v>256</v>
      </c>
      <c r="D192" s="299" t="e">
        <v>#VALUE!</v>
      </c>
      <c r="E192" s="299" t="e">
        <v>#VALUE!</v>
      </c>
      <c r="F192" s="299" t="e">
        <v>#VALUE!</v>
      </c>
      <c r="G192" s="299" t="e">
        <v>#VALUE!</v>
      </c>
      <c r="H192" s="299" t="e">
        <v>#VALUE!</v>
      </c>
      <c r="I192" s="299" t="e">
        <v>#VALUE!</v>
      </c>
      <c r="J192" s="299" t="e">
        <v>#VALUE!</v>
      </c>
      <c r="K192" s="299" t="e">
        <v>#VALUE!</v>
      </c>
      <c r="L192" s="299" t="e">
        <v>#VALUE!</v>
      </c>
      <c r="M192" s="299" t="e">
        <v>#VALUE!</v>
      </c>
      <c r="N192" s="299" t="e">
        <v>#VALUE!</v>
      </c>
      <c r="O192" s="299" t="e">
        <v>#VALUE!</v>
      </c>
      <c r="P192" s="299" t="e">
        <v>#VALUE!</v>
      </c>
      <c r="Q192" s="299" t="e">
        <v>#VALUE!</v>
      </c>
      <c r="R192" s="299" t="e">
        <v>#VALUE!</v>
      </c>
      <c r="S192" s="299" t="e">
        <v>#VALUE!</v>
      </c>
      <c r="T192" s="299" t="e">
        <v>#VALUE!</v>
      </c>
      <c r="U192" s="299" t="e">
        <v>#VALUE!</v>
      </c>
      <c r="V192" s="299" t="e">
        <v>#VALUE!</v>
      </c>
      <c r="W192" s="299" t="e">
        <v>#VALUE!</v>
      </c>
      <c r="X192" s="299" t="e">
        <v>#VALUE!</v>
      </c>
      <c r="Y192" s="299" t="e">
        <v>#VALUE!</v>
      </c>
      <c r="Z192" s="299" t="e">
        <v>#VALUE!</v>
      </c>
      <c r="AA192" s="299" t="e">
        <v>#VALUE!</v>
      </c>
      <c r="AB192" s="299" t="e">
        <v>#VALUE!</v>
      </c>
      <c r="AC192" s="299" t="e">
        <v>#VALUE!</v>
      </c>
      <c r="AD192" s="299" t="e">
        <v>#VALUE!</v>
      </c>
      <c r="AE192" s="299" t="e">
        <v>#VALUE!</v>
      </c>
      <c r="AF192" s="299" t="e">
        <v>#VALUE!</v>
      </c>
      <c r="AG192" s="299" t="e">
        <v>#VALUE!</v>
      </c>
      <c r="AH192" s="300" t="e">
        <f>SUM(D192:AG192)</f>
        <v>#VALUE!</v>
      </c>
    </row>
    <row r="193" spans="3:34">
      <c r="C193" s="301" t="s">
        <v>1</v>
      </c>
      <c r="D193" s="302">
        <v>1</v>
      </c>
      <c r="E193" s="302">
        <f t="shared" ref="E193:AG193" si="41">D193+1</f>
        <v>2</v>
      </c>
      <c r="F193" s="302">
        <f t="shared" si="41"/>
        <v>3</v>
      </c>
      <c r="G193" s="302">
        <f t="shared" si="41"/>
        <v>4</v>
      </c>
      <c r="H193" s="302">
        <f t="shared" si="41"/>
        <v>5</v>
      </c>
      <c r="I193" s="302">
        <f t="shared" si="41"/>
        <v>6</v>
      </c>
      <c r="J193" s="302">
        <f t="shared" si="41"/>
        <v>7</v>
      </c>
      <c r="K193" s="302">
        <f t="shared" si="41"/>
        <v>8</v>
      </c>
      <c r="L193" s="302">
        <f t="shared" si="41"/>
        <v>9</v>
      </c>
      <c r="M193" s="302">
        <f t="shared" si="41"/>
        <v>10</v>
      </c>
      <c r="N193" s="302">
        <f t="shared" si="41"/>
        <v>11</v>
      </c>
      <c r="O193" s="302">
        <f t="shared" si="41"/>
        <v>12</v>
      </c>
      <c r="P193" s="302">
        <f t="shared" si="41"/>
        <v>13</v>
      </c>
      <c r="Q193" s="302">
        <f t="shared" si="41"/>
        <v>14</v>
      </c>
      <c r="R193" s="302">
        <f t="shared" si="41"/>
        <v>15</v>
      </c>
      <c r="S193" s="302">
        <f t="shared" si="41"/>
        <v>16</v>
      </c>
      <c r="T193" s="302">
        <f t="shared" si="41"/>
        <v>17</v>
      </c>
      <c r="U193" s="302">
        <f t="shared" si="41"/>
        <v>18</v>
      </c>
      <c r="V193" s="302">
        <f t="shared" si="41"/>
        <v>19</v>
      </c>
      <c r="W193" s="302">
        <f t="shared" si="41"/>
        <v>20</v>
      </c>
      <c r="X193" s="302">
        <f t="shared" si="41"/>
        <v>21</v>
      </c>
      <c r="Y193" s="302">
        <f t="shared" si="41"/>
        <v>22</v>
      </c>
      <c r="Z193" s="302">
        <f t="shared" si="41"/>
        <v>23</v>
      </c>
      <c r="AA193" s="302">
        <f t="shared" si="41"/>
        <v>24</v>
      </c>
      <c r="AB193" s="302">
        <f t="shared" si="41"/>
        <v>25</v>
      </c>
      <c r="AC193" s="302">
        <f t="shared" si="41"/>
        <v>26</v>
      </c>
      <c r="AD193" s="302">
        <f t="shared" si="41"/>
        <v>27</v>
      </c>
      <c r="AE193" s="302">
        <f t="shared" si="41"/>
        <v>28</v>
      </c>
      <c r="AF193" s="302">
        <f t="shared" si="41"/>
        <v>29</v>
      </c>
      <c r="AG193" s="302">
        <f t="shared" si="41"/>
        <v>30</v>
      </c>
      <c r="AH193" s="303" t="s">
        <v>0</v>
      </c>
    </row>
    <row r="194" spans="3:34">
      <c r="C194" s="304">
        <v>0</v>
      </c>
      <c r="D194" s="319"/>
      <c r="E194" s="319"/>
      <c r="F194" s="319"/>
      <c r="G194" s="319"/>
      <c r="H194" s="319"/>
      <c r="I194" s="319"/>
      <c r="J194" s="319"/>
      <c r="K194" s="319"/>
      <c r="L194" s="319"/>
      <c r="M194" s="319"/>
      <c r="N194" s="319"/>
      <c r="O194" s="319"/>
      <c r="P194" s="319"/>
      <c r="Q194" s="319"/>
      <c r="R194" s="319"/>
      <c r="S194" s="319"/>
      <c r="T194" s="319"/>
      <c r="U194" s="319"/>
      <c r="V194" s="319"/>
      <c r="W194" s="319"/>
      <c r="X194" s="319"/>
      <c r="Y194" s="319"/>
      <c r="Z194" s="319"/>
      <c r="AA194" s="319"/>
      <c r="AB194" s="319"/>
      <c r="AC194" s="319"/>
      <c r="AD194" s="319"/>
      <c r="AE194" s="319"/>
      <c r="AF194" s="319"/>
      <c r="AG194" s="319"/>
      <c r="AH194" s="306">
        <f t="shared" ref="AH194:AH224" si="42">SUM(D194:AG194)</f>
        <v>0</v>
      </c>
    </row>
    <row r="195" spans="3:34">
      <c r="C195" s="307">
        <f t="shared" ref="C195:C224" si="43">C194+1</f>
        <v>1</v>
      </c>
      <c r="D195" s="309"/>
      <c r="E195" s="309"/>
      <c r="F195" s="309"/>
      <c r="G195" s="309"/>
      <c r="H195" s="309"/>
      <c r="I195" s="309"/>
      <c r="J195" s="309"/>
      <c r="K195" s="309"/>
      <c r="L195" s="309"/>
      <c r="M195" s="309"/>
      <c r="N195" s="309"/>
      <c r="O195" s="309"/>
      <c r="P195" s="309"/>
      <c r="Q195" s="309"/>
      <c r="R195" s="309"/>
      <c r="S195" s="309"/>
      <c r="T195" s="309"/>
      <c r="U195" s="309"/>
      <c r="V195" s="309"/>
      <c r="W195" s="309"/>
      <c r="X195" s="309"/>
      <c r="Y195" s="309"/>
      <c r="Z195" s="309"/>
      <c r="AA195" s="309"/>
      <c r="AB195" s="309"/>
      <c r="AC195" s="309"/>
      <c r="AD195" s="309"/>
      <c r="AE195" s="309"/>
      <c r="AF195" s="309"/>
      <c r="AG195" s="309"/>
      <c r="AH195" s="310">
        <f t="shared" si="42"/>
        <v>0</v>
      </c>
    </row>
    <row r="196" spans="3:34">
      <c r="C196" s="307">
        <f t="shared" si="43"/>
        <v>2</v>
      </c>
      <c r="D196" s="308" t="e">
        <f>D$192/10</f>
        <v>#VALUE!</v>
      </c>
      <c r="E196" s="309"/>
      <c r="F196" s="309"/>
      <c r="G196" s="309"/>
      <c r="H196" s="309"/>
      <c r="I196" s="309"/>
      <c r="J196" s="309"/>
      <c r="K196" s="309"/>
      <c r="L196" s="309"/>
      <c r="M196" s="309"/>
      <c r="N196" s="309"/>
      <c r="O196" s="309"/>
      <c r="P196" s="309"/>
      <c r="Q196" s="309"/>
      <c r="R196" s="309"/>
      <c r="S196" s="309"/>
      <c r="T196" s="309"/>
      <c r="U196" s="309"/>
      <c r="V196" s="309"/>
      <c r="W196" s="309"/>
      <c r="X196" s="309"/>
      <c r="Y196" s="309"/>
      <c r="Z196" s="309"/>
      <c r="AA196" s="309"/>
      <c r="AB196" s="309"/>
      <c r="AC196" s="309"/>
      <c r="AD196" s="309"/>
      <c r="AE196" s="309"/>
      <c r="AF196" s="309"/>
      <c r="AG196" s="309"/>
      <c r="AH196" s="310" t="e">
        <f t="shared" si="42"/>
        <v>#VALUE!</v>
      </c>
    </row>
    <row r="197" spans="3:34">
      <c r="C197" s="307">
        <f t="shared" si="43"/>
        <v>3</v>
      </c>
      <c r="D197" s="309" t="e">
        <f t="shared" ref="D197:D205" si="44">D196</f>
        <v>#VALUE!</v>
      </c>
      <c r="E197" s="308" t="e">
        <f>E$192/10</f>
        <v>#VALUE!</v>
      </c>
      <c r="F197" s="309"/>
      <c r="G197" s="309"/>
      <c r="H197" s="309"/>
      <c r="I197" s="309"/>
      <c r="J197" s="309"/>
      <c r="K197" s="309"/>
      <c r="L197" s="309"/>
      <c r="M197" s="309"/>
      <c r="N197" s="309"/>
      <c r="O197" s="309"/>
      <c r="P197" s="309"/>
      <c r="Q197" s="309"/>
      <c r="R197" s="309"/>
      <c r="S197" s="309"/>
      <c r="T197" s="309"/>
      <c r="U197" s="309"/>
      <c r="V197" s="309"/>
      <c r="W197" s="309"/>
      <c r="X197" s="309"/>
      <c r="Y197" s="309"/>
      <c r="Z197" s="309"/>
      <c r="AA197" s="309"/>
      <c r="AB197" s="309"/>
      <c r="AC197" s="309"/>
      <c r="AD197" s="309"/>
      <c r="AE197" s="309"/>
      <c r="AF197" s="309"/>
      <c r="AG197" s="309"/>
      <c r="AH197" s="310" t="e">
        <f t="shared" si="42"/>
        <v>#VALUE!</v>
      </c>
    </row>
    <row r="198" spans="3:34">
      <c r="C198" s="307">
        <f t="shared" si="43"/>
        <v>4</v>
      </c>
      <c r="D198" s="309" t="e">
        <f t="shared" si="44"/>
        <v>#VALUE!</v>
      </c>
      <c r="E198" s="309" t="e">
        <f t="shared" ref="E198:E206" si="45">E197</f>
        <v>#VALUE!</v>
      </c>
      <c r="F198" s="308" t="e">
        <f>F$192/10</f>
        <v>#VALUE!</v>
      </c>
      <c r="G198" s="309"/>
      <c r="H198" s="309"/>
      <c r="I198" s="309"/>
      <c r="J198" s="309"/>
      <c r="K198" s="309"/>
      <c r="L198" s="309"/>
      <c r="M198" s="309"/>
      <c r="N198" s="309"/>
      <c r="O198" s="309"/>
      <c r="P198" s="309"/>
      <c r="Q198" s="309"/>
      <c r="R198" s="309"/>
      <c r="S198" s="309"/>
      <c r="T198" s="309"/>
      <c r="U198" s="309"/>
      <c r="V198" s="309"/>
      <c r="W198" s="309"/>
      <c r="X198" s="309"/>
      <c r="Y198" s="309"/>
      <c r="Z198" s="309"/>
      <c r="AA198" s="309"/>
      <c r="AB198" s="309"/>
      <c r="AC198" s="309"/>
      <c r="AD198" s="309"/>
      <c r="AE198" s="309"/>
      <c r="AF198" s="309"/>
      <c r="AG198" s="309"/>
      <c r="AH198" s="310" t="e">
        <f t="shared" si="42"/>
        <v>#VALUE!</v>
      </c>
    </row>
    <row r="199" spans="3:34">
      <c r="C199" s="307">
        <f t="shared" si="43"/>
        <v>5</v>
      </c>
      <c r="D199" s="309" t="e">
        <f t="shared" si="44"/>
        <v>#VALUE!</v>
      </c>
      <c r="E199" s="309" t="e">
        <f t="shared" si="45"/>
        <v>#VALUE!</v>
      </c>
      <c r="F199" s="309" t="e">
        <f t="shared" ref="F199:F207" si="46">F198</f>
        <v>#VALUE!</v>
      </c>
      <c r="G199" s="308" t="e">
        <f>G$192/10</f>
        <v>#VALUE!</v>
      </c>
      <c r="H199" s="309"/>
      <c r="I199" s="309"/>
      <c r="J199" s="309"/>
      <c r="K199" s="309"/>
      <c r="L199" s="309"/>
      <c r="M199" s="309"/>
      <c r="N199" s="309"/>
      <c r="O199" s="309"/>
      <c r="P199" s="309"/>
      <c r="Q199" s="309"/>
      <c r="R199" s="309"/>
      <c r="S199" s="309"/>
      <c r="T199" s="309"/>
      <c r="U199" s="309"/>
      <c r="V199" s="309"/>
      <c r="W199" s="309"/>
      <c r="X199" s="309"/>
      <c r="Y199" s="309"/>
      <c r="Z199" s="309"/>
      <c r="AA199" s="309"/>
      <c r="AB199" s="309"/>
      <c r="AC199" s="309"/>
      <c r="AD199" s="309"/>
      <c r="AE199" s="309"/>
      <c r="AF199" s="309"/>
      <c r="AG199" s="309"/>
      <c r="AH199" s="310" t="e">
        <f t="shared" si="42"/>
        <v>#VALUE!</v>
      </c>
    </row>
    <row r="200" spans="3:34">
      <c r="C200" s="307">
        <f t="shared" si="43"/>
        <v>6</v>
      </c>
      <c r="D200" s="309" t="e">
        <f t="shared" si="44"/>
        <v>#VALUE!</v>
      </c>
      <c r="E200" s="309" t="e">
        <f t="shared" si="45"/>
        <v>#VALUE!</v>
      </c>
      <c r="F200" s="309" t="e">
        <f t="shared" si="46"/>
        <v>#VALUE!</v>
      </c>
      <c r="G200" s="309" t="e">
        <f t="shared" ref="G200:G208" si="47">G199</f>
        <v>#VALUE!</v>
      </c>
      <c r="H200" s="308" t="e">
        <f>H$192/10</f>
        <v>#VALUE!</v>
      </c>
      <c r="I200" s="309"/>
      <c r="J200" s="309"/>
      <c r="K200" s="309"/>
      <c r="L200" s="309"/>
      <c r="M200" s="309"/>
      <c r="N200" s="309"/>
      <c r="O200" s="309"/>
      <c r="P200" s="309"/>
      <c r="Q200" s="309"/>
      <c r="R200" s="309"/>
      <c r="S200" s="309"/>
      <c r="T200" s="309"/>
      <c r="U200" s="309"/>
      <c r="V200" s="309"/>
      <c r="W200" s="309"/>
      <c r="X200" s="309"/>
      <c r="Y200" s="309"/>
      <c r="Z200" s="309"/>
      <c r="AA200" s="309"/>
      <c r="AB200" s="309"/>
      <c r="AC200" s="309"/>
      <c r="AD200" s="309"/>
      <c r="AE200" s="309"/>
      <c r="AF200" s="309"/>
      <c r="AG200" s="309"/>
      <c r="AH200" s="310" t="e">
        <f t="shared" si="42"/>
        <v>#VALUE!</v>
      </c>
    </row>
    <row r="201" spans="3:34">
      <c r="C201" s="307">
        <f t="shared" si="43"/>
        <v>7</v>
      </c>
      <c r="D201" s="309" t="e">
        <f t="shared" si="44"/>
        <v>#VALUE!</v>
      </c>
      <c r="E201" s="309" t="e">
        <f t="shared" si="45"/>
        <v>#VALUE!</v>
      </c>
      <c r="F201" s="309" t="e">
        <f t="shared" si="46"/>
        <v>#VALUE!</v>
      </c>
      <c r="G201" s="309" t="e">
        <f t="shared" si="47"/>
        <v>#VALUE!</v>
      </c>
      <c r="H201" s="309" t="e">
        <f t="shared" ref="H201:H209" si="48">H200</f>
        <v>#VALUE!</v>
      </c>
      <c r="I201" s="308" t="e">
        <f>I$192/10</f>
        <v>#VALUE!</v>
      </c>
      <c r="J201" s="309"/>
      <c r="K201" s="309"/>
      <c r="L201" s="309"/>
      <c r="M201" s="309"/>
      <c r="N201" s="309"/>
      <c r="O201" s="309"/>
      <c r="P201" s="309"/>
      <c r="Q201" s="309"/>
      <c r="R201" s="309"/>
      <c r="S201" s="309"/>
      <c r="T201" s="309"/>
      <c r="U201" s="309"/>
      <c r="V201" s="309"/>
      <c r="W201" s="309"/>
      <c r="X201" s="309"/>
      <c r="Y201" s="309"/>
      <c r="Z201" s="309"/>
      <c r="AA201" s="309"/>
      <c r="AB201" s="309"/>
      <c r="AC201" s="309"/>
      <c r="AD201" s="309"/>
      <c r="AE201" s="309"/>
      <c r="AF201" s="309"/>
      <c r="AG201" s="309"/>
      <c r="AH201" s="310" t="e">
        <f t="shared" si="42"/>
        <v>#VALUE!</v>
      </c>
    </row>
    <row r="202" spans="3:34">
      <c r="C202" s="307">
        <f t="shared" si="43"/>
        <v>8</v>
      </c>
      <c r="D202" s="309" t="e">
        <f t="shared" si="44"/>
        <v>#VALUE!</v>
      </c>
      <c r="E202" s="309" t="e">
        <f t="shared" si="45"/>
        <v>#VALUE!</v>
      </c>
      <c r="F202" s="309" t="e">
        <f t="shared" si="46"/>
        <v>#VALUE!</v>
      </c>
      <c r="G202" s="309" t="e">
        <f t="shared" si="47"/>
        <v>#VALUE!</v>
      </c>
      <c r="H202" s="309" t="e">
        <f t="shared" si="48"/>
        <v>#VALUE!</v>
      </c>
      <c r="I202" s="309" t="e">
        <f t="shared" ref="I202:I210" si="49">I201</f>
        <v>#VALUE!</v>
      </c>
      <c r="J202" s="308" t="e">
        <f>J$192/10</f>
        <v>#VALUE!</v>
      </c>
      <c r="K202" s="309"/>
      <c r="L202" s="309"/>
      <c r="M202" s="309"/>
      <c r="N202" s="309"/>
      <c r="O202" s="309"/>
      <c r="P202" s="309"/>
      <c r="Q202" s="309"/>
      <c r="R202" s="309"/>
      <c r="S202" s="309"/>
      <c r="T202" s="309"/>
      <c r="U202" s="309"/>
      <c r="V202" s="309"/>
      <c r="W202" s="309"/>
      <c r="X202" s="309"/>
      <c r="Y202" s="309"/>
      <c r="Z202" s="309"/>
      <c r="AA202" s="309"/>
      <c r="AB202" s="309"/>
      <c r="AC202" s="309"/>
      <c r="AD202" s="309"/>
      <c r="AE202" s="309"/>
      <c r="AF202" s="309"/>
      <c r="AG202" s="309"/>
      <c r="AH202" s="310" t="e">
        <f t="shared" si="42"/>
        <v>#VALUE!</v>
      </c>
    </row>
    <row r="203" spans="3:34">
      <c r="C203" s="307">
        <f t="shared" si="43"/>
        <v>9</v>
      </c>
      <c r="D203" s="309" t="e">
        <f t="shared" si="44"/>
        <v>#VALUE!</v>
      </c>
      <c r="E203" s="309" t="e">
        <f t="shared" si="45"/>
        <v>#VALUE!</v>
      </c>
      <c r="F203" s="309" t="e">
        <f t="shared" si="46"/>
        <v>#VALUE!</v>
      </c>
      <c r="G203" s="309" t="e">
        <f t="shared" si="47"/>
        <v>#VALUE!</v>
      </c>
      <c r="H203" s="309" t="e">
        <f t="shared" si="48"/>
        <v>#VALUE!</v>
      </c>
      <c r="I203" s="309" t="e">
        <f t="shared" si="49"/>
        <v>#VALUE!</v>
      </c>
      <c r="J203" s="309" t="e">
        <f t="shared" ref="J203:J211" si="50">J202</f>
        <v>#VALUE!</v>
      </c>
      <c r="K203" s="308" t="e">
        <f>K$192/10</f>
        <v>#VALUE!</v>
      </c>
      <c r="L203" s="309"/>
      <c r="M203" s="309"/>
      <c r="N203" s="309"/>
      <c r="O203" s="309"/>
      <c r="P203" s="309"/>
      <c r="Q203" s="309"/>
      <c r="R203" s="309"/>
      <c r="S203" s="309"/>
      <c r="T203" s="309"/>
      <c r="U203" s="309"/>
      <c r="V203" s="309"/>
      <c r="W203" s="309"/>
      <c r="X203" s="309"/>
      <c r="Y203" s="309"/>
      <c r="Z203" s="309"/>
      <c r="AA203" s="309"/>
      <c r="AB203" s="309"/>
      <c r="AC203" s="309"/>
      <c r="AD203" s="309"/>
      <c r="AE203" s="309"/>
      <c r="AF203" s="309"/>
      <c r="AG203" s="309"/>
      <c r="AH203" s="310" t="e">
        <f t="shared" si="42"/>
        <v>#VALUE!</v>
      </c>
    </row>
    <row r="204" spans="3:34">
      <c r="C204" s="307">
        <f t="shared" si="43"/>
        <v>10</v>
      </c>
      <c r="D204" s="309" t="e">
        <f t="shared" si="44"/>
        <v>#VALUE!</v>
      </c>
      <c r="E204" s="309" t="e">
        <f t="shared" si="45"/>
        <v>#VALUE!</v>
      </c>
      <c r="F204" s="309" t="e">
        <f t="shared" si="46"/>
        <v>#VALUE!</v>
      </c>
      <c r="G204" s="309" t="e">
        <f t="shared" si="47"/>
        <v>#VALUE!</v>
      </c>
      <c r="H204" s="309" t="e">
        <f t="shared" si="48"/>
        <v>#VALUE!</v>
      </c>
      <c r="I204" s="309" t="e">
        <f t="shared" si="49"/>
        <v>#VALUE!</v>
      </c>
      <c r="J204" s="309" t="e">
        <f t="shared" si="50"/>
        <v>#VALUE!</v>
      </c>
      <c r="K204" s="309" t="e">
        <f t="shared" ref="K204:K212" si="51">K203</f>
        <v>#VALUE!</v>
      </c>
      <c r="L204" s="308" t="e">
        <f>L$192/10</f>
        <v>#VALUE!</v>
      </c>
      <c r="M204" s="309"/>
      <c r="N204" s="309"/>
      <c r="O204" s="309"/>
      <c r="P204" s="309"/>
      <c r="Q204" s="309"/>
      <c r="R204" s="309"/>
      <c r="S204" s="309"/>
      <c r="T204" s="309"/>
      <c r="U204" s="309"/>
      <c r="V204" s="309"/>
      <c r="W204" s="309"/>
      <c r="X204" s="309"/>
      <c r="Y204" s="309"/>
      <c r="Z204" s="309"/>
      <c r="AA204" s="309"/>
      <c r="AB204" s="309"/>
      <c r="AC204" s="309"/>
      <c r="AD204" s="309"/>
      <c r="AE204" s="309"/>
      <c r="AF204" s="309"/>
      <c r="AG204" s="309"/>
      <c r="AH204" s="310" t="e">
        <f t="shared" si="42"/>
        <v>#VALUE!</v>
      </c>
    </row>
    <row r="205" spans="3:34">
      <c r="C205" s="307">
        <f t="shared" si="43"/>
        <v>11</v>
      </c>
      <c r="D205" s="309" t="e">
        <f t="shared" si="44"/>
        <v>#VALUE!</v>
      </c>
      <c r="E205" s="309" t="e">
        <f t="shared" si="45"/>
        <v>#VALUE!</v>
      </c>
      <c r="F205" s="309" t="e">
        <f t="shared" si="46"/>
        <v>#VALUE!</v>
      </c>
      <c r="G205" s="309" t="e">
        <f t="shared" si="47"/>
        <v>#VALUE!</v>
      </c>
      <c r="H205" s="309" t="e">
        <f t="shared" si="48"/>
        <v>#VALUE!</v>
      </c>
      <c r="I205" s="309" t="e">
        <f t="shared" si="49"/>
        <v>#VALUE!</v>
      </c>
      <c r="J205" s="309" t="e">
        <f t="shared" si="50"/>
        <v>#VALUE!</v>
      </c>
      <c r="K205" s="309" t="e">
        <f t="shared" si="51"/>
        <v>#VALUE!</v>
      </c>
      <c r="L205" s="309" t="e">
        <f t="shared" ref="L205:L212" si="52">L204</f>
        <v>#VALUE!</v>
      </c>
      <c r="M205" s="308" t="e">
        <f>M$192/10</f>
        <v>#VALUE!</v>
      </c>
      <c r="N205" s="309"/>
      <c r="O205" s="309"/>
      <c r="P205" s="309"/>
      <c r="Q205" s="309"/>
      <c r="R205" s="309"/>
      <c r="S205" s="309"/>
      <c r="T205" s="309"/>
      <c r="U205" s="309"/>
      <c r="V205" s="309"/>
      <c r="W205" s="309"/>
      <c r="X205" s="309"/>
      <c r="Y205" s="309"/>
      <c r="Z205" s="309"/>
      <c r="AA205" s="309"/>
      <c r="AB205" s="309"/>
      <c r="AC205" s="309"/>
      <c r="AD205" s="309"/>
      <c r="AE205" s="309"/>
      <c r="AF205" s="309"/>
      <c r="AG205" s="309"/>
      <c r="AH205" s="310" t="e">
        <f t="shared" si="42"/>
        <v>#VALUE!</v>
      </c>
    </row>
    <row r="206" spans="3:34">
      <c r="C206" s="307">
        <f t="shared" si="43"/>
        <v>12</v>
      </c>
      <c r="D206" s="309"/>
      <c r="E206" s="309" t="e">
        <f t="shared" si="45"/>
        <v>#VALUE!</v>
      </c>
      <c r="F206" s="309" t="e">
        <f t="shared" si="46"/>
        <v>#VALUE!</v>
      </c>
      <c r="G206" s="309" t="e">
        <f t="shared" si="47"/>
        <v>#VALUE!</v>
      </c>
      <c r="H206" s="309" t="e">
        <f t="shared" si="48"/>
        <v>#VALUE!</v>
      </c>
      <c r="I206" s="309" t="e">
        <f t="shared" si="49"/>
        <v>#VALUE!</v>
      </c>
      <c r="J206" s="309" t="e">
        <f t="shared" si="50"/>
        <v>#VALUE!</v>
      </c>
      <c r="K206" s="309" t="e">
        <f t="shared" si="51"/>
        <v>#VALUE!</v>
      </c>
      <c r="L206" s="309" t="e">
        <f t="shared" si="52"/>
        <v>#VALUE!</v>
      </c>
      <c r="M206" s="309" t="e">
        <f t="shared" ref="M206:M212" si="53">M205</f>
        <v>#VALUE!</v>
      </c>
      <c r="N206" s="308" t="e">
        <f>N$192/10</f>
        <v>#VALUE!</v>
      </c>
      <c r="O206" s="309"/>
      <c r="P206" s="334"/>
      <c r="Q206" s="309"/>
      <c r="R206" s="309"/>
      <c r="S206" s="309"/>
      <c r="T206" s="309"/>
      <c r="U206" s="309"/>
      <c r="V206" s="309"/>
      <c r="W206" s="309"/>
      <c r="X206" s="309"/>
      <c r="Y206" s="309"/>
      <c r="Z206" s="309"/>
      <c r="AA206" s="309"/>
      <c r="AB206" s="309"/>
      <c r="AC206" s="309"/>
      <c r="AD206" s="309"/>
      <c r="AE206" s="309"/>
      <c r="AF206" s="309"/>
      <c r="AG206" s="309"/>
      <c r="AH206" s="310" t="e">
        <f t="shared" si="42"/>
        <v>#VALUE!</v>
      </c>
    </row>
    <row r="207" spans="3:34">
      <c r="C207" s="307">
        <f t="shared" si="43"/>
        <v>13</v>
      </c>
      <c r="D207" s="309"/>
      <c r="E207" s="309"/>
      <c r="F207" s="309" t="e">
        <f t="shared" si="46"/>
        <v>#VALUE!</v>
      </c>
      <c r="G207" s="309" t="e">
        <f t="shared" si="47"/>
        <v>#VALUE!</v>
      </c>
      <c r="H207" s="309" t="e">
        <f t="shared" si="48"/>
        <v>#VALUE!</v>
      </c>
      <c r="I207" s="309" t="e">
        <f t="shared" si="49"/>
        <v>#VALUE!</v>
      </c>
      <c r="J207" s="309" t="e">
        <f t="shared" si="50"/>
        <v>#VALUE!</v>
      </c>
      <c r="K207" s="309" t="e">
        <f t="shared" si="51"/>
        <v>#VALUE!</v>
      </c>
      <c r="L207" s="309" t="e">
        <f t="shared" si="52"/>
        <v>#VALUE!</v>
      </c>
      <c r="M207" s="309" t="e">
        <f t="shared" si="53"/>
        <v>#VALUE!</v>
      </c>
      <c r="N207" s="309" t="e">
        <f t="shared" ref="N207:N212" si="54">N206</f>
        <v>#VALUE!</v>
      </c>
      <c r="O207" s="308" t="e">
        <f>O$192/10</f>
        <v>#VALUE!</v>
      </c>
      <c r="P207" s="309"/>
      <c r="Q207" s="309"/>
      <c r="R207" s="309"/>
      <c r="S207" s="309"/>
      <c r="T207" s="309"/>
      <c r="U207" s="309"/>
      <c r="V207" s="309"/>
      <c r="W207" s="309"/>
      <c r="X207" s="309"/>
      <c r="Y207" s="309"/>
      <c r="Z207" s="309"/>
      <c r="AA207" s="309"/>
      <c r="AB207" s="309"/>
      <c r="AC207" s="309"/>
      <c r="AD207" s="309"/>
      <c r="AE207" s="309"/>
      <c r="AF207" s="309"/>
      <c r="AG207" s="309"/>
      <c r="AH207" s="310" t="e">
        <f t="shared" si="42"/>
        <v>#VALUE!</v>
      </c>
    </row>
    <row r="208" spans="3:34">
      <c r="C208" s="307">
        <f t="shared" si="43"/>
        <v>14</v>
      </c>
      <c r="D208" s="309"/>
      <c r="E208" s="309"/>
      <c r="F208" s="309"/>
      <c r="G208" s="309" t="e">
        <f t="shared" si="47"/>
        <v>#VALUE!</v>
      </c>
      <c r="H208" s="309" t="e">
        <f t="shared" si="48"/>
        <v>#VALUE!</v>
      </c>
      <c r="I208" s="309" t="e">
        <f t="shared" si="49"/>
        <v>#VALUE!</v>
      </c>
      <c r="J208" s="309" t="e">
        <f t="shared" si="50"/>
        <v>#VALUE!</v>
      </c>
      <c r="K208" s="309" t="e">
        <f t="shared" si="51"/>
        <v>#VALUE!</v>
      </c>
      <c r="L208" s="309" t="e">
        <f t="shared" si="52"/>
        <v>#VALUE!</v>
      </c>
      <c r="M208" s="309" t="e">
        <f t="shared" si="53"/>
        <v>#VALUE!</v>
      </c>
      <c r="N208" s="309" t="e">
        <f t="shared" si="54"/>
        <v>#VALUE!</v>
      </c>
      <c r="O208" s="309" t="e">
        <f>O207</f>
        <v>#VALUE!</v>
      </c>
      <c r="P208" s="308" t="e">
        <f>P$192/10</f>
        <v>#VALUE!</v>
      </c>
      <c r="Q208" s="309"/>
      <c r="R208" s="309"/>
      <c r="S208" s="309"/>
      <c r="T208" s="309"/>
      <c r="U208" s="309"/>
      <c r="V208" s="309"/>
      <c r="W208" s="309"/>
      <c r="X208" s="309"/>
      <c r="Y208" s="309"/>
      <c r="Z208" s="309"/>
      <c r="AA208" s="309"/>
      <c r="AB208" s="309"/>
      <c r="AC208" s="309"/>
      <c r="AD208" s="309"/>
      <c r="AE208" s="309"/>
      <c r="AF208" s="309"/>
      <c r="AG208" s="309"/>
      <c r="AH208" s="310" t="e">
        <f t="shared" si="42"/>
        <v>#VALUE!</v>
      </c>
    </row>
    <row r="209" spans="3:34">
      <c r="C209" s="307">
        <f t="shared" si="43"/>
        <v>15</v>
      </c>
      <c r="D209" s="309"/>
      <c r="E209" s="309"/>
      <c r="F209" s="309"/>
      <c r="G209" s="309"/>
      <c r="H209" s="309" t="e">
        <f t="shared" si="48"/>
        <v>#VALUE!</v>
      </c>
      <c r="I209" s="309" t="e">
        <f t="shared" si="49"/>
        <v>#VALUE!</v>
      </c>
      <c r="J209" s="309" t="e">
        <f t="shared" si="50"/>
        <v>#VALUE!</v>
      </c>
      <c r="K209" s="309" t="e">
        <f t="shared" si="51"/>
        <v>#VALUE!</v>
      </c>
      <c r="L209" s="309" t="e">
        <f t="shared" si="52"/>
        <v>#VALUE!</v>
      </c>
      <c r="M209" s="309" t="e">
        <f t="shared" si="53"/>
        <v>#VALUE!</v>
      </c>
      <c r="N209" s="309" t="e">
        <f t="shared" si="54"/>
        <v>#VALUE!</v>
      </c>
      <c r="O209" s="309" t="e">
        <f>O208</f>
        <v>#VALUE!</v>
      </c>
      <c r="P209" s="309" t="e">
        <f>P208</f>
        <v>#VALUE!</v>
      </c>
      <c r="Q209" s="308" t="e">
        <f>Q$192/10</f>
        <v>#VALUE!</v>
      </c>
      <c r="R209" s="309"/>
      <c r="S209" s="309"/>
      <c r="T209" s="309"/>
      <c r="U209" s="309"/>
      <c r="V209" s="309"/>
      <c r="W209" s="309"/>
      <c r="X209" s="309"/>
      <c r="Y209" s="309"/>
      <c r="Z209" s="309"/>
      <c r="AA209" s="309"/>
      <c r="AB209" s="309"/>
      <c r="AC209" s="309"/>
      <c r="AD209" s="309"/>
      <c r="AE209" s="309"/>
      <c r="AF209" s="309"/>
      <c r="AG209" s="309"/>
      <c r="AH209" s="310" t="e">
        <f t="shared" si="42"/>
        <v>#VALUE!</v>
      </c>
    </row>
    <row r="210" spans="3:34">
      <c r="C210" s="307">
        <f t="shared" si="43"/>
        <v>16</v>
      </c>
      <c r="D210" s="309"/>
      <c r="E210" s="309"/>
      <c r="F210" s="309"/>
      <c r="G210" s="309"/>
      <c r="H210" s="309"/>
      <c r="I210" s="309" t="e">
        <f t="shared" si="49"/>
        <v>#VALUE!</v>
      </c>
      <c r="J210" s="309" t="e">
        <f t="shared" si="50"/>
        <v>#VALUE!</v>
      </c>
      <c r="K210" s="309" t="e">
        <f t="shared" si="51"/>
        <v>#VALUE!</v>
      </c>
      <c r="L210" s="309" t="e">
        <f t="shared" si="52"/>
        <v>#VALUE!</v>
      </c>
      <c r="M210" s="309" t="e">
        <f t="shared" si="53"/>
        <v>#VALUE!</v>
      </c>
      <c r="N210" s="309" t="e">
        <f t="shared" si="54"/>
        <v>#VALUE!</v>
      </c>
      <c r="O210" s="309" t="e">
        <f>O209</f>
        <v>#VALUE!</v>
      </c>
      <c r="P210" s="309" t="e">
        <f>P209</f>
        <v>#VALUE!</v>
      </c>
      <c r="Q210" s="309" t="e">
        <f>Q209</f>
        <v>#VALUE!</v>
      </c>
      <c r="R210" s="308" t="e">
        <f>R$192/10</f>
        <v>#VALUE!</v>
      </c>
      <c r="S210" s="309"/>
      <c r="T210" s="309"/>
      <c r="U210" s="309"/>
      <c r="V210" s="309"/>
      <c r="W210" s="309"/>
      <c r="X210" s="309"/>
      <c r="Y210" s="309"/>
      <c r="Z210" s="309"/>
      <c r="AA210" s="309"/>
      <c r="AB210" s="309"/>
      <c r="AC210" s="309"/>
      <c r="AD210" s="309"/>
      <c r="AE210" s="309"/>
      <c r="AF210" s="309"/>
      <c r="AG210" s="309"/>
      <c r="AH210" s="310" t="e">
        <f t="shared" si="42"/>
        <v>#VALUE!</v>
      </c>
    </row>
    <row r="211" spans="3:34">
      <c r="C211" s="307">
        <f t="shared" si="43"/>
        <v>17</v>
      </c>
      <c r="D211" s="309"/>
      <c r="E211" s="309"/>
      <c r="F211" s="309"/>
      <c r="G211" s="309"/>
      <c r="H211" s="309"/>
      <c r="I211" s="309"/>
      <c r="J211" s="309" t="e">
        <f t="shared" si="50"/>
        <v>#VALUE!</v>
      </c>
      <c r="K211" s="309" t="e">
        <f t="shared" si="51"/>
        <v>#VALUE!</v>
      </c>
      <c r="L211" s="309" t="e">
        <f t="shared" si="52"/>
        <v>#VALUE!</v>
      </c>
      <c r="M211" s="309" t="e">
        <f t="shared" si="53"/>
        <v>#VALUE!</v>
      </c>
      <c r="N211" s="309" t="e">
        <f t="shared" si="54"/>
        <v>#VALUE!</v>
      </c>
      <c r="O211" s="309" t="e">
        <f>O210</f>
        <v>#VALUE!</v>
      </c>
      <c r="P211" s="309" t="e">
        <f>P210</f>
        <v>#VALUE!</v>
      </c>
      <c r="Q211" s="309" t="e">
        <f>Q210</f>
        <v>#VALUE!</v>
      </c>
      <c r="R211" s="309" t="e">
        <f>R210</f>
        <v>#VALUE!</v>
      </c>
      <c r="S211" s="308" t="e">
        <f>S$192/10</f>
        <v>#VALUE!</v>
      </c>
      <c r="T211" s="309"/>
      <c r="U211" s="309"/>
      <c r="V211" s="309"/>
      <c r="W211" s="309"/>
      <c r="X211" s="309"/>
      <c r="Y211" s="309"/>
      <c r="Z211" s="309"/>
      <c r="AA211" s="309"/>
      <c r="AB211" s="309"/>
      <c r="AC211" s="309"/>
      <c r="AD211" s="309"/>
      <c r="AE211" s="309"/>
      <c r="AF211" s="309"/>
      <c r="AG211" s="309"/>
      <c r="AH211" s="310" t="e">
        <f t="shared" si="42"/>
        <v>#VALUE!</v>
      </c>
    </row>
    <row r="212" spans="3:34">
      <c r="C212" s="307">
        <f t="shared" si="43"/>
        <v>18</v>
      </c>
      <c r="D212" s="309"/>
      <c r="E212" s="309"/>
      <c r="F212" s="309"/>
      <c r="G212" s="309"/>
      <c r="H212" s="309"/>
      <c r="I212" s="309"/>
      <c r="J212" s="309"/>
      <c r="K212" s="309" t="e">
        <f t="shared" si="51"/>
        <v>#VALUE!</v>
      </c>
      <c r="L212" s="309" t="e">
        <f t="shared" si="52"/>
        <v>#VALUE!</v>
      </c>
      <c r="M212" s="309" t="e">
        <f t="shared" si="53"/>
        <v>#VALUE!</v>
      </c>
      <c r="N212" s="309" t="e">
        <f t="shared" si="54"/>
        <v>#VALUE!</v>
      </c>
      <c r="O212" s="309" t="e">
        <f>O211</f>
        <v>#VALUE!</v>
      </c>
      <c r="P212" s="309" t="e">
        <f>P211</f>
        <v>#VALUE!</v>
      </c>
      <c r="Q212" s="309" t="e">
        <f>Q211</f>
        <v>#VALUE!</v>
      </c>
      <c r="R212" s="309" t="e">
        <f>R211</f>
        <v>#VALUE!</v>
      </c>
      <c r="S212" s="309" t="e">
        <f>S211</f>
        <v>#VALUE!</v>
      </c>
      <c r="T212" s="308" t="e">
        <f>T$192/10</f>
        <v>#VALUE!</v>
      </c>
      <c r="U212" s="309"/>
      <c r="V212" s="309"/>
      <c r="W212" s="309"/>
      <c r="X212" s="309"/>
      <c r="Y212" s="309"/>
      <c r="Z212" s="309"/>
      <c r="AA212" s="309"/>
      <c r="AB212" s="309"/>
      <c r="AC212" s="309"/>
      <c r="AD212" s="309"/>
      <c r="AE212" s="309"/>
      <c r="AF212" s="309"/>
      <c r="AG212" s="309"/>
      <c r="AH212" s="310" t="e">
        <f t="shared" si="42"/>
        <v>#VALUE!</v>
      </c>
    </row>
    <row r="213" spans="3:34">
      <c r="C213" s="307">
        <f t="shared" si="43"/>
        <v>19</v>
      </c>
      <c r="D213" s="309"/>
      <c r="E213" s="309"/>
      <c r="F213" s="309"/>
      <c r="G213" s="309"/>
      <c r="H213" s="309"/>
      <c r="I213" s="309"/>
      <c r="J213" s="309"/>
      <c r="K213" s="309"/>
      <c r="L213" s="309" t="e">
        <f t="shared" ref="L213:Z224" si="55">L212</f>
        <v>#VALUE!</v>
      </c>
      <c r="M213" s="309" t="e">
        <f t="shared" si="55"/>
        <v>#VALUE!</v>
      </c>
      <c r="N213" s="309" t="e">
        <f t="shared" si="55"/>
        <v>#VALUE!</v>
      </c>
      <c r="O213" s="309" t="e">
        <f t="shared" si="55"/>
        <v>#VALUE!</v>
      </c>
      <c r="P213" s="309" t="e">
        <f t="shared" si="55"/>
        <v>#VALUE!</v>
      </c>
      <c r="Q213" s="309" t="e">
        <f t="shared" si="55"/>
        <v>#VALUE!</v>
      </c>
      <c r="R213" s="309" t="e">
        <f t="shared" si="55"/>
        <v>#VALUE!</v>
      </c>
      <c r="S213" s="309" t="e">
        <f t="shared" si="55"/>
        <v>#VALUE!</v>
      </c>
      <c r="T213" s="309" t="e">
        <f t="shared" si="55"/>
        <v>#VALUE!</v>
      </c>
      <c r="U213" s="308" t="e">
        <f>U$192/10</f>
        <v>#VALUE!</v>
      </c>
      <c r="V213" s="309"/>
      <c r="W213" s="309"/>
      <c r="X213" s="309"/>
      <c r="Y213" s="309"/>
      <c r="Z213" s="309"/>
      <c r="AA213" s="309"/>
      <c r="AB213" s="309"/>
      <c r="AC213" s="309"/>
      <c r="AD213" s="309"/>
      <c r="AE213" s="309"/>
      <c r="AF213" s="309"/>
      <c r="AG213" s="309"/>
      <c r="AH213" s="310" t="e">
        <f t="shared" si="42"/>
        <v>#VALUE!</v>
      </c>
    </row>
    <row r="214" spans="3:34">
      <c r="C214" s="307">
        <f t="shared" si="43"/>
        <v>20</v>
      </c>
      <c r="D214" s="309"/>
      <c r="E214" s="309"/>
      <c r="F214" s="309"/>
      <c r="G214" s="309"/>
      <c r="H214" s="309"/>
      <c r="I214" s="309"/>
      <c r="J214" s="309"/>
      <c r="K214" s="309"/>
      <c r="L214" s="309"/>
      <c r="M214" s="309" t="e">
        <f t="shared" si="55"/>
        <v>#VALUE!</v>
      </c>
      <c r="N214" s="309" t="e">
        <f t="shared" si="55"/>
        <v>#VALUE!</v>
      </c>
      <c r="O214" s="309" t="e">
        <f t="shared" si="55"/>
        <v>#VALUE!</v>
      </c>
      <c r="P214" s="309" t="e">
        <f t="shared" si="55"/>
        <v>#VALUE!</v>
      </c>
      <c r="Q214" s="309" t="e">
        <f t="shared" si="55"/>
        <v>#VALUE!</v>
      </c>
      <c r="R214" s="309" t="e">
        <f t="shared" si="55"/>
        <v>#VALUE!</v>
      </c>
      <c r="S214" s="309" t="e">
        <f t="shared" si="55"/>
        <v>#VALUE!</v>
      </c>
      <c r="T214" s="309" t="e">
        <f t="shared" si="55"/>
        <v>#VALUE!</v>
      </c>
      <c r="U214" s="309" t="e">
        <f t="shared" si="55"/>
        <v>#VALUE!</v>
      </c>
      <c r="V214" s="308" t="e">
        <f>V$192/10</f>
        <v>#VALUE!</v>
      </c>
      <c r="W214" s="309"/>
      <c r="X214" s="309"/>
      <c r="Y214" s="309"/>
      <c r="Z214" s="309"/>
      <c r="AA214" s="309"/>
      <c r="AB214" s="309"/>
      <c r="AC214" s="309"/>
      <c r="AD214" s="309"/>
      <c r="AE214" s="309"/>
      <c r="AF214" s="309"/>
      <c r="AG214" s="309"/>
      <c r="AH214" s="310" t="e">
        <f t="shared" si="42"/>
        <v>#VALUE!</v>
      </c>
    </row>
    <row r="215" spans="3:34">
      <c r="C215" s="307">
        <f t="shared" si="43"/>
        <v>21</v>
      </c>
      <c r="D215" s="309"/>
      <c r="E215" s="309"/>
      <c r="F215" s="309"/>
      <c r="G215" s="309"/>
      <c r="H215" s="309"/>
      <c r="I215" s="309"/>
      <c r="J215" s="309"/>
      <c r="K215" s="309"/>
      <c r="L215" s="309"/>
      <c r="M215" s="309"/>
      <c r="N215" s="309" t="e">
        <f t="shared" si="55"/>
        <v>#VALUE!</v>
      </c>
      <c r="O215" s="309" t="e">
        <f t="shared" si="55"/>
        <v>#VALUE!</v>
      </c>
      <c r="P215" s="309" t="e">
        <f t="shared" si="55"/>
        <v>#VALUE!</v>
      </c>
      <c r="Q215" s="309" t="e">
        <f t="shared" si="55"/>
        <v>#VALUE!</v>
      </c>
      <c r="R215" s="309" t="e">
        <f t="shared" si="55"/>
        <v>#VALUE!</v>
      </c>
      <c r="S215" s="309" t="e">
        <f t="shared" si="55"/>
        <v>#VALUE!</v>
      </c>
      <c r="T215" s="309" t="e">
        <f t="shared" si="55"/>
        <v>#VALUE!</v>
      </c>
      <c r="U215" s="309" t="e">
        <f t="shared" si="55"/>
        <v>#VALUE!</v>
      </c>
      <c r="V215" s="309" t="e">
        <f t="shared" si="55"/>
        <v>#VALUE!</v>
      </c>
      <c r="W215" s="308" t="e">
        <f>W$192/10</f>
        <v>#VALUE!</v>
      </c>
      <c r="X215" s="309"/>
      <c r="Y215" s="309"/>
      <c r="Z215" s="309"/>
      <c r="AA215" s="309"/>
      <c r="AB215" s="309"/>
      <c r="AC215" s="309"/>
      <c r="AD215" s="309"/>
      <c r="AE215" s="309"/>
      <c r="AF215" s="309"/>
      <c r="AG215" s="309"/>
      <c r="AH215" s="310" t="e">
        <f t="shared" si="42"/>
        <v>#VALUE!</v>
      </c>
    </row>
    <row r="216" spans="3:34">
      <c r="C216" s="307">
        <f t="shared" si="43"/>
        <v>22</v>
      </c>
      <c r="D216" s="309"/>
      <c r="E216" s="309"/>
      <c r="F216" s="309"/>
      <c r="G216" s="309"/>
      <c r="H216" s="309"/>
      <c r="I216" s="309"/>
      <c r="J216" s="309"/>
      <c r="K216" s="309"/>
      <c r="L216" s="309"/>
      <c r="M216" s="309"/>
      <c r="N216" s="309"/>
      <c r="O216" s="309" t="e">
        <f t="shared" si="55"/>
        <v>#VALUE!</v>
      </c>
      <c r="P216" s="309" t="e">
        <f t="shared" si="55"/>
        <v>#VALUE!</v>
      </c>
      <c r="Q216" s="309" t="e">
        <f t="shared" si="55"/>
        <v>#VALUE!</v>
      </c>
      <c r="R216" s="309" t="e">
        <f t="shared" si="55"/>
        <v>#VALUE!</v>
      </c>
      <c r="S216" s="309" t="e">
        <f t="shared" si="55"/>
        <v>#VALUE!</v>
      </c>
      <c r="T216" s="309" t="e">
        <f t="shared" si="55"/>
        <v>#VALUE!</v>
      </c>
      <c r="U216" s="309" t="e">
        <f t="shared" si="55"/>
        <v>#VALUE!</v>
      </c>
      <c r="V216" s="309" t="e">
        <f t="shared" si="55"/>
        <v>#VALUE!</v>
      </c>
      <c r="W216" s="309" t="e">
        <f t="shared" si="55"/>
        <v>#VALUE!</v>
      </c>
      <c r="X216" s="308" t="e">
        <f>X$192/9</f>
        <v>#VALUE!</v>
      </c>
      <c r="Y216" s="309"/>
      <c r="Z216" s="309"/>
      <c r="AA216" s="309"/>
      <c r="AB216" s="309"/>
      <c r="AC216" s="309"/>
      <c r="AD216" s="309"/>
      <c r="AE216" s="309"/>
      <c r="AF216" s="309"/>
      <c r="AG216" s="309"/>
      <c r="AH216" s="310" t="e">
        <f t="shared" si="42"/>
        <v>#VALUE!</v>
      </c>
    </row>
    <row r="217" spans="3:34">
      <c r="C217" s="307">
        <f t="shared" si="43"/>
        <v>23</v>
      </c>
      <c r="D217" s="309"/>
      <c r="E217" s="309"/>
      <c r="F217" s="309"/>
      <c r="G217" s="309"/>
      <c r="H217" s="309"/>
      <c r="I217" s="309"/>
      <c r="J217" s="309"/>
      <c r="K217" s="309"/>
      <c r="L217" s="309"/>
      <c r="M217" s="309"/>
      <c r="N217" s="309"/>
      <c r="O217" s="309"/>
      <c r="P217" s="309" t="e">
        <f t="shared" si="55"/>
        <v>#VALUE!</v>
      </c>
      <c r="Q217" s="309" t="e">
        <f t="shared" si="55"/>
        <v>#VALUE!</v>
      </c>
      <c r="R217" s="309" t="e">
        <f t="shared" si="55"/>
        <v>#VALUE!</v>
      </c>
      <c r="S217" s="309" t="e">
        <f t="shared" si="55"/>
        <v>#VALUE!</v>
      </c>
      <c r="T217" s="309" t="e">
        <f t="shared" si="55"/>
        <v>#VALUE!</v>
      </c>
      <c r="U217" s="309" t="e">
        <f t="shared" si="55"/>
        <v>#VALUE!</v>
      </c>
      <c r="V217" s="309" t="e">
        <f t="shared" si="55"/>
        <v>#VALUE!</v>
      </c>
      <c r="W217" s="309" t="e">
        <f t="shared" si="55"/>
        <v>#VALUE!</v>
      </c>
      <c r="X217" s="309" t="e">
        <f t="shared" si="55"/>
        <v>#VALUE!</v>
      </c>
      <c r="Y217" s="308" t="e">
        <f>Y$192/8</f>
        <v>#VALUE!</v>
      </c>
      <c r="Z217" s="309"/>
      <c r="AA217" s="309"/>
      <c r="AB217" s="309"/>
      <c r="AC217" s="309"/>
      <c r="AD217" s="309"/>
      <c r="AE217" s="309"/>
      <c r="AF217" s="309"/>
      <c r="AG217" s="309"/>
      <c r="AH217" s="310" t="e">
        <f t="shared" si="42"/>
        <v>#VALUE!</v>
      </c>
    </row>
    <row r="218" spans="3:34">
      <c r="C218" s="307">
        <f t="shared" si="43"/>
        <v>24</v>
      </c>
      <c r="D218" s="309"/>
      <c r="E218" s="309"/>
      <c r="F218" s="309"/>
      <c r="G218" s="309"/>
      <c r="H218" s="309"/>
      <c r="I218" s="309"/>
      <c r="J218" s="309"/>
      <c r="K218" s="309"/>
      <c r="L218" s="309"/>
      <c r="M218" s="309"/>
      <c r="N218" s="309"/>
      <c r="O218" s="309"/>
      <c r="P218" s="309"/>
      <c r="Q218" s="309" t="e">
        <f t="shared" si="55"/>
        <v>#VALUE!</v>
      </c>
      <c r="R218" s="309" t="e">
        <f t="shared" si="55"/>
        <v>#VALUE!</v>
      </c>
      <c r="S218" s="309" t="e">
        <f t="shared" si="55"/>
        <v>#VALUE!</v>
      </c>
      <c r="T218" s="309" t="e">
        <f t="shared" si="55"/>
        <v>#VALUE!</v>
      </c>
      <c r="U218" s="309" t="e">
        <f t="shared" si="55"/>
        <v>#VALUE!</v>
      </c>
      <c r="V218" s="309" t="e">
        <f t="shared" si="55"/>
        <v>#VALUE!</v>
      </c>
      <c r="W218" s="309" t="e">
        <f t="shared" si="55"/>
        <v>#VALUE!</v>
      </c>
      <c r="X218" s="309" t="e">
        <f t="shared" si="55"/>
        <v>#VALUE!</v>
      </c>
      <c r="Y218" s="309" t="e">
        <f t="shared" si="55"/>
        <v>#VALUE!</v>
      </c>
      <c r="Z218" s="308" t="e">
        <f>Z$192/7</f>
        <v>#VALUE!</v>
      </c>
      <c r="AA218" s="309"/>
      <c r="AB218" s="309"/>
      <c r="AC218" s="309"/>
      <c r="AD218" s="309"/>
      <c r="AE218" s="309"/>
      <c r="AF218" s="309"/>
      <c r="AG218" s="309"/>
      <c r="AH218" s="310" t="e">
        <f t="shared" si="42"/>
        <v>#VALUE!</v>
      </c>
    </row>
    <row r="219" spans="3:34">
      <c r="C219" s="307">
        <f t="shared" si="43"/>
        <v>25</v>
      </c>
      <c r="D219" s="309"/>
      <c r="E219" s="309"/>
      <c r="F219" s="309"/>
      <c r="G219" s="309"/>
      <c r="H219" s="309"/>
      <c r="I219" s="309"/>
      <c r="J219" s="309"/>
      <c r="K219" s="309"/>
      <c r="L219" s="309"/>
      <c r="M219" s="309"/>
      <c r="N219" s="309"/>
      <c r="O219" s="309"/>
      <c r="P219" s="309"/>
      <c r="Q219" s="309"/>
      <c r="R219" s="309" t="e">
        <f t="shared" si="55"/>
        <v>#VALUE!</v>
      </c>
      <c r="S219" s="309" t="e">
        <f t="shared" si="55"/>
        <v>#VALUE!</v>
      </c>
      <c r="T219" s="309" t="e">
        <f t="shared" si="55"/>
        <v>#VALUE!</v>
      </c>
      <c r="U219" s="309" t="e">
        <f t="shared" si="55"/>
        <v>#VALUE!</v>
      </c>
      <c r="V219" s="309" t="e">
        <f t="shared" si="55"/>
        <v>#VALUE!</v>
      </c>
      <c r="W219" s="309" t="e">
        <f t="shared" si="55"/>
        <v>#VALUE!</v>
      </c>
      <c r="X219" s="309" t="e">
        <f t="shared" si="55"/>
        <v>#VALUE!</v>
      </c>
      <c r="Y219" s="309" t="e">
        <f t="shared" si="55"/>
        <v>#VALUE!</v>
      </c>
      <c r="Z219" s="309" t="e">
        <f t="shared" si="55"/>
        <v>#VALUE!</v>
      </c>
      <c r="AA219" s="308" t="e">
        <f>AA$192/6</f>
        <v>#VALUE!</v>
      </c>
      <c r="AB219" s="309"/>
      <c r="AC219" s="309"/>
      <c r="AD219" s="309"/>
      <c r="AE219" s="309"/>
      <c r="AF219" s="309"/>
      <c r="AG219" s="309"/>
      <c r="AH219" s="310" t="e">
        <f t="shared" si="42"/>
        <v>#VALUE!</v>
      </c>
    </row>
    <row r="220" spans="3:34">
      <c r="C220" s="307">
        <f t="shared" si="43"/>
        <v>26</v>
      </c>
      <c r="D220" s="309"/>
      <c r="E220" s="309"/>
      <c r="F220" s="309"/>
      <c r="G220" s="309"/>
      <c r="H220" s="309"/>
      <c r="I220" s="309"/>
      <c r="J220" s="309"/>
      <c r="K220" s="309"/>
      <c r="L220" s="309"/>
      <c r="M220" s="309"/>
      <c r="N220" s="309"/>
      <c r="O220" s="309"/>
      <c r="P220" s="309"/>
      <c r="Q220" s="309"/>
      <c r="R220" s="309"/>
      <c r="S220" s="309" t="e">
        <f t="shared" si="55"/>
        <v>#VALUE!</v>
      </c>
      <c r="T220" s="309" t="e">
        <f t="shared" si="55"/>
        <v>#VALUE!</v>
      </c>
      <c r="U220" s="309" t="e">
        <f t="shared" si="55"/>
        <v>#VALUE!</v>
      </c>
      <c r="V220" s="309" t="e">
        <f t="shared" si="55"/>
        <v>#VALUE!</v>
      </c>
      <c r="W220" s="309" t="e">
        <f t="shared" si="55"/>
        <v>#VALUE!</v>
      </c>
      <c r="X220" s="309" t="e">
        <f t="shared" si="55"/>
        <v>#VALUE!</v>
      </c>
      <c r="Y220" s="309" t="e">
        <f t="shared" si="55"/>
        <v>#VALUE!</v>
      </c>
      <c r="Z220" s="309" t="e">
        <f t="shared" si="55"/>
        <v>#VALUE!</v>
      </c>
      <c r="AA220" s="309" t="e">
        <f>AA219</f>
        <v>#VALUE!</v>
      </c>
      <c r="AB220" s="308" t="e">
        <f>AB$192/5</f>
        <v>#VALUE!</v>
      </c>
      <c r="AC220" s="309"/>
      <c r="AD220" s="309"/>
      <c r="AE220" s="309"/>
      <c r="AF220" s="309"/>
      <c r="AG220" s="309"/>
      <c r="AH220" s="310" t="e">
        <f t="shared" si="42"/>
        <v>#VALUE!</v>
      </c>
    </row>
    <row r="221" spans="3:34">
      <c r="C221" s="307">
        <f t="shared" si="43"/>
        <v>27</v>
      </c>
      <c r="D221" s="309"/>
      <c r="E221" s="309"/>
      <c r="F221" s="309"/>
      <c r="G221" s="309"/>
      <c r="H221" s="309"/>
      <c r="I221" s="309"/>
      <c r="J221" s="309"/>
      <c r="K221" s="309"/>
      <c r="L221" s="309"/>
      <c r="M221" s="309"/>
      <c r="N221" s="309"/>
      <c r="O221" s="309"/>
      <c r="P221" s="309"/>
      <c r="Q221" s="309"/>
      <c r="R221" s="309"/>
      <c r="S221" s="309"/>
      <c r="T221" s="309" t="e">
        <f t="shared" si="55"/>
        <v>#VALUE!</v>
      </c>
      <c r="U221" s="309" t="e">
        <f t="shared" si="55"/>
        <v>#VALUE!</v>
      </c>
      <c r="V221" s="309" t="e">
        <f t="shared" si="55"/>
        <v>#VALUE!</v>
      </c>
      <c r="W221" s="309" t="e">
        <f t="shared" si="55"/>
        <v>#VALUE!</v>
      </c>
      <c r="X221" s="309" t="e">
        <f t="shared" si="55"/>
        <v>#VALUE!</v>
      </c>
      <c r="Y221" s="309" t="e">
        <f t="shared" si="55"/>
        <v>#VALUE!</v>
      </c>
      <c r="Z221" s="309" t="e">
        <f t="shared" si="55"/>
        <v>#VALUE!</v>
      </c>
      <c r="AA221" s="309" t="e">
        <f>AA220</f>
        <v>#VALUE!</v>
      </c>
      <c r="AB221" s="309" t="e">
        <f>AB220</f>
        <v>#VALUE!</v>
      </c>
      <c r="AC221" s="308" t="e">
        <f>AC$192/4</f>
        <v>#VALUE!</v>
      </c>
      <c r="AD221" s="309"/>
      <c r="AE221" s="309"/>
      <c r="AF221" s="309"/>
      <c r="AG221" s="309"/>
      <c r="AH221" s="310" t="e">
        <f t="shared" si="42"/>
        <v>#VALUE!</v>
      </c>
    </row>
    <row r="222" spans="3:34">
      <c r="C222" s="307">
        <f t="shared" si="43"/>
        <v>28</v>
      </c>
      <c r="D222" s="309"/>
      <c r="E222" s="309"/>
      <c r="F222" s="309"/>
      <c r="G222" s="309"/>
      <c r="H222" s="309"/>
      <c r="I222" s="309"/>
      <c r="J222" s="309"/>
      <c r="K222" s="309"/>
      <c r="L222" s="309"/>
      <c r="M222" s="309"/>
      <c r="N222" s="309"/>
      <c r="O222" s="309"/>
      <c r="P222" s="309"/>
      <c r="Q222" s="309"/>
      <c r="R222" s="309"/>
      <c r="S222" s="309"/>
      <c r="T222" s="309"/>
      <c r="U222" s="309" t="e">
        <f t="shared" si="55"/>
        <v>#VALUE!</v>
      </c>
      <c r="V222" s="309" t="e">
        <f t="shared" si="55"/>
        <v>#VALUE!</v>
      </c>
      <c r="W222" s="309" t="e">
        <f t="shared" si="55"/>
        <v>#VALUE!</v>
      </c>
      <c r="X222" s="309" t="e">
        <f t="shared" si="55"/>
        <v>#VALUE!</v>
      </c>
      <c r="Y222" s="309" t="e">
        <f t="shared" si="55"/>
        <v>#VALUE!</v>
      </c>
      <c r="Z222" s="309" t="e">
        <f t="shared" si="55"/>
        <v>#VALUE!</v>
      </c>
      <c r="AA222" s="309" t="e">
        <f>AA221</f>
        <v>#VALUE!</v>
      </c>
      <c r="AB222" s="309" t="e">
        <f>AB221</f>
        <v>#VALUE!</v>
      </c>
      <c r="AC222" s="309" t="e">
        <f>AC221</f>
        <v>#VALUE!</v>
      </c>
      <c r="AD222" s="308" t="e">
        <f>AD$192/3</f>
        <v>#VALUE!</v>
      </c>
      <c r="AE222" s="309"/>
      <c r="AF222" s="309"/>
      <c r="AG222" s="309"/>
      <c r="AH222" s="310" t="e">
        <f t="shared" si="42"/>
        <v>#VALUE!</v>
      </c>
    </row>
    <row r="223" spans="3:34">
      <c r="C223" s="307">
        <f t="shared" si="43"/>
        <v>29</v>
      </c>
      <c r="D223" s="309"/>
      <c r="E223" s="309"/>
      <c r="F223" s="309"/>
      <c r="G223" s="309"/>
      <c r="H223" s="309"/>
      <c r="I223" s="309"/>
      <c r="J223" s="309"/>
      <c r="K223" s="309"/>
      <c r="L223" s="309"/>
      <c r="M223" s="309"/>
      <c r="N223" s="309"/>
      <c r="O223" s="309"/>
      <c r="P223" s="309"/>
      <c r="Q223" s="309"/>
      <c r="R223" s="309"/>
      <c r="S223" s="309"/>
      <c r="T223" s="309"/>
      <c r="U223" s="309"/>
      <c r="V223" s="309" t="e">
        <f t="shared" si="55"/>
        <v>#VALUE!</v>
      </c>
      <c r="W223" s="309" t="e">
        <f t="shared" si="55"/>
        <v>#VALUE!</v>
      </c>
      <c r="X223" s="309" t="e">
        <f t="shared" si="55"/>
        <v>#VALUE!</v>
      </c>
      <c r="Y223" s="309" t="e">
        <f t="shared" si="55"/>
        <v>#VALUE!</v>
      </c>
      <c r="Z223" s="309" t="e">
        <f t="shared" si="55"/>
        <v>#VALUE!</v>
      </c>
      <c r="AA223" s="309" t="e">
        <f>AA222</f>
        <v>#VALUE!</v>
      </c>
      <c r="AB223" s="309" t="e">
        <f>AB222</f>
        <v>#VALUE!</v>
      </c>
      <c r="AC223" s="309" t="e">
        <f>AC222</f>
        <v>#VALUE!</v>
      </c>
      <c r="AD223" s="309" t="e">
        <f>AD222</f>
        <v>#VALUE!</v>
      </c>
      <c r="AE223" s="308" t="e">
        <f>AD$192/2</f>
        <v>#VALUE!</v>
      </c>
      <c r="AF223" s="309"/>
      <c r="AG223" s="309"/>
      <c r="AH223" s="310" t="e">
        <f t="shared" si="42"/>
        <v>#VALUE!</v>
      </c>
    </row>
    <row r="224" spans="3:34" ht="13.5" thickBot="1">
      <c r="C224" s="307">
        <f t="shared" si="43"/>
        <v>30</v>
      </c>
      <c r="D224" s="322"/>
      <c r="E224" s="322"/>
      <c r="F224" s="322"/>
      <c r="G224" s="322"/>
      <c r="H224" s="322"/>
      <c r="I224" s="322"/>
      <c r="J224" s="322"/>
      <c r="K224" s="322"/>
      <c r="L224" s="335"/>
      <c r="M224" s="335"/>
      <c r="N224" s="335"/>
      <c r="O224" s="335"/>
      <c r="P224" s="335"/>
      <c r="Q224" s="335"/>
      <c r="R224" s="335"/>
      <c r="S224" s="335"/>
      <c r="T224" s="335"/>
      <c r="U224" s="335"/>
      <c r="V224" s="335"/>
      <c r="W224" s="309" t="e">
        <f t="shared" si="55"/>
        <v>#VALUE!</v>
      </c>
      <c r="X224" s="322" t="e">
        <f t="shared" si="55"/>
        <v>#VALUE!</v>
      </c>
      <c r="Y224" s="322" t="e">
        <f t="shared" si="55"/>
        <v>#VALUE!</v>
      </c>
      <c r="Z224" s="322" t="e">
        <f t="shared" si="55"/>
        <v>#VALUE!</v>
      </c>
      <c r="AA224" s="322" t="e">
        <f>AA223</f>
        <v>#VALUE!</v>
      </c>
      <c r="AB224" s="322" t="e">
        <f>AB223</f>
        <v>#VALUE!</v>
      </c>
      <c r="AC224" s="322" t="e">
        <f>AC223</f>
        <v>#VALUE!</v>
      </c>
      <c r="AD224" s="322" t="e">
        <f>AD223</f>
        <v>#VALUE!</v>
      </c>
      <c r="AE224" s="322" t="e">
        <f>AE223</f>
        <v>#VALUE!</v>
      </c>
      <c r="AF224" s="308" t="e">
        <f>AF192</f>
        <v>#VALUE!</v>
      </c>
      <c r="AG224" s="308" t="e">
        <f>AG192</f>
        <v>#VALUE!</v>
      </c>
      <c r="AH224" s="310" t="e">
        <f t="shared" si="42"/>
        <v>#VALUE!</v>
      </c>
    </row>
    <row r="225" spans="1:34" ht="14.25" thickTop="1" thickBot="1">
      <c r="C225" s="311" t="s">
        <v>0</v>
      </c>
      <c r="D225" s="328" t="e">
        <f t="shared" ref="D225:AG225" si="56">SUM(D194:D224)</f>
        <v>#VALUE!</v>
      </c>
      <c r="E225" s="328" t="e">
        <f t="shared" si="56"/>
        <v>#VALUE!</v>
      </c>
      <c r="F225" s="328" t="e">
        <f t="shared" si="56"/>
        <v>#VALUE!</v>
      </c>
      <c r="G225" s="328" t="e">
        <f t="shared" si="56"/>
        <v>#VALUE!</v>
      </c>
      <c r="H225" s="328" t="e">
        <f t="shared" si="56"/>
        <v>#VALUE!</v>
      </c>
      <c r="I225" s="328" t="e">
        <f t="shared" si="56"/>
        <v>#VALUE!</v>
      </c>
      <c r="J225" s="328" t="e">
        <f t="shared" si="56"/>
        <v>#VALUE!</v>
      </c>
      <c r="K225" s="328" t="e">
        <f t="shared" si="56"/>
        <v>#VALUE!</v>
      </c>
      <c r="L225" s="328" t="e">
        <f t="shared" si="56"/>
        <v>#VALUE!</v>
      </c>
      <c r="M225" s="328" t="e">
        <f t="shared" si="56"/>
        <v>#VALUE!</v>
      </c>
      <c r="N225" s="336" t="e">
        <f t="shared" si="56"/>
        <v>#VALUE!</v>
      </c>
      <c r="O225" s="328" t="e">
        <f t="shared" si="56"/>
        <v>#VALUE!</v>
      </c>
      <c r="P225" s="328" t="e">
        <f t="shared" si="56"/>
        <v>#VALUE!</v>
      </c>
      <c r="Q225" s="328" t="e">
        <f t="shared" si="56"/>
        <v>#VALUE!</v>
      </c>
      <c r="R225" s="328" t="e">
        <f t="shared" si="56"/>
        <v>#VALUE!</v>
      </c>
      <c r="S225" s="328" t="e">
        <f t="shared" si="56"/>
        <v>#VALUE!</v>
      </c>
      <c r="T225" s="328" t="e">
        <f t="shared" si="56"/>
        <v>#VALUE!</v>
      </c>
      <c r="U225" s="328" t="e">
        <f t="shared" si="56"/>
        <v>#VALUE!</v>
      </c>
      <c r="V225" s="328" t="e">
        <f t="shared" si="56"/>
        <v>#VALUE!</v>
      </c>
      <c r="W225" s="328" t="e">
        <f t="shared" si="56"/>
        <v>#VALUE!</v>
      </c>
      <c r="X225" s="328" t="e">
        <f t="shared" si="56"/>
        <v>#VALUE!</v>
      </c>
      <c r="Y225" s="328" t="e">
        <f t="shared" si="56"/>
        <v>#VALUE!</v>
      </c>
      <c r="Z225" s="328" t="e">
        <f t="shared" si="56"/>
        <v>#VALUE!</v>
      </c>
      <c r="AA225" s="328" t="e">
        <f t="shared" si="56"/>
        <v>#VALUE!</v>
      </c>
      <c r="AB225" s="328" t="e">
        <f t="shared" si="56"/>
        <v>#VALUE!</v>
      </c>
      <c r="AC225" s="328" t="e">
        <f t="shared" si="56"/>
        <v>#VALUE!</v>
      </c>
      <c r="AD225" s="328" t="e">
        <f t="shared" si="56"/>
        <v>#VALUE!</v>
      </c>
      <c r="AE225" s="328" t="e">
        <f t="shared" si="56"/>
        <v>#VALUE!</v>
      </c>
      <c r="AF225" s="329" t="e">
        <f t="shared" si="56"/>
        <v>#VALUE!</v>
      </c>
      <c r="AG225" s="329" t="e">
        <f t="shared" si="56"/>
        <v>#VALUE!</v>
      </c>
      <c r="AH225" s="315" t="e">
        <f>SUM(AH194:AH224)</f>
        <v>#VALUE!</v>
      </c>
    </row>
    <row r="226" spans="1:34" ht="13.5" thickBot="1">
      <c r="A226" s="23" t="s">
        <v>258</v>
      </c>
      <c r="C226" s="291"/>
      <c r="D226" s="291"/>
      <c r="E226" s="291"/>
      <c r="F226" s="291"/>
      <c r="G226" s="291"/>
      <c r="H226" s="291"/>
      <c r="I226" s="291"/>
      <c r="J226" s="291"/>
      <c r="K226" s="291"/>
      <c r="L226" s="291"/>
      <c r="M226" s="291"/>
      <c r="N226" s="291"/>
      <c r="O226" s="291"/>
      <c r="P226" s="291"/>
      <c r="Q226" s="291"/>
      <c r="R226" s="291"/>
      <c r="S226" s="291"/>
      <c r="T226" s="291"/>
      <c r="U226" s="291"/>
      <c r="V226" s="291"/>
      <c r="W226" s="291"/>
      <c r="X226" s="291"/>
      <c r="Y226" s="291"/>
      <c r="Z226" s="291"/>
      <c r="AA226" s="291"/>
      <c r="AB226" s="291"/>
      <c r="AC226" s="291"/>
      <c r="AD226" s="291"/>
      <c r="AE226" s="291"/>
      <c r="AF226" s="291"/>
      <c r="AG226" s="291"/>
      <c r="AH226" s="291"/>
    </row>
    <row r="227" spans="1:34">
      <c r="A227" s="292">
        <v>0</v>
      </c>
      <c r="B227" s="13" t="e">
        <v>#VALUE!</v>
      </c>
      <c r="C227" s="293" t="s">
        <v>257</v>
      </c>
      <c r="D227" s="294"/>
      <c r="E227" s="295">
        <v>7</v>
      </c>
      <c r="F227" s="294"/>
      <c r="G227" s="294"/>
      <c r="H227" s="294"/>
      <c r="I227" s="294"/>
      <c r="J227" s="294"/>
      <c r="K227" s="294"/>
      <c r="L227" s="294"/>
      <c r="M227" s="294"/>
      <c r="N227" s="294"/>
      <c r="O227" s="294"/>
      <c r="P227" s="294"/>
      <c r="Q227" s="294"/>
      <c r="R227" s="294"/>
      <c r="S227" s="294"/>
      <c r="T227" s="294"/>
      <c r="U227" s="294"/>
      <c r="V227" s="294"/>
      <c r="W227" s="294"/>
      <c r="X227" s="294"/>
      <c r="Y227" s="294"/>
      <c r="Z227" s="294"/>
      <c r="AA227" s="294"/>
      <c r="AB227" s="294"/>
      <c r="AC227" s="294"/>
      <c r="AD227" s="294"/>
      <c r="AE227" s="294"/>
      <c r="AF227" s="294"/>
      <c r="AG227" s="294"/>
      <c r="AH227" s="296"/>
    </row>
    <row r="228" spans="1:34">
      <c r="A228" s="297">
        <v>0</v>
      </c>
      <c r="B228" s="15" t="e">
        <f>AH228</f>
        <v>#VALUE!</v>
      </c>
      <c r="C228" s="298" t="s">
        <v>256</v>
      </c>
      <c r="D228" s="299" t="e">
        <v>#VALUE!</v>
      </c>
      <c r="E228" s="299" t="e">
        <v>#VALUE!</v>
      </c>
      <c r="F228" s="299" t="e">
        <v>#VALUE!</v>
      </c>
      <c r="G228" s="299" t="e">
        <v>#VALUE!</v>
      </c>
      <c r="H228" s="299" t="e">
        <v>#VALUE!</v>
      </c>
      <c r="I228" s="299" t="e">
        <v>#VALUE!</v>
      </c>
      <c r="J228" s="299" t="e">
        <v>#VALUE!</v>
      </c>
      <c r="K228" s="299" t="e">
        <v>#VALUE!</v>
      </c>
      <c r="L228" s="299" t="e">
        <v>#VALUE!</v>
      </c>
      <c r="M228" s="299" t="e">
        <v>#VALUE!</v>
      </c>
      <c r="N228" s="299" t="e">
        <v>#VALUE!</v>
      </c>
      <c r="O228" s="299" t="e">
        <v>#VALUE!</v>
      </c>
      <c r="P228" s="299" t="e">
        <v>#VALUE!</v>
      </c>
      <c r="Q228" s="299" t="e">
        <v>#VALUE!</v>
      </c>
      <c r="R228" s="299" t="e">
        <v>#VALUE!</v>
      </c>
      <c r="S228" s="299" t="e">
        <v>#VALUE!</v>
      </c>
      <c r="T228" s="299" t="e">
        <v>#VALUE!</v>
      </c>
      <c r="U228" s="299" t="e">
        <v>#VALUE!</v>
      </c>
      <c r="V228" s="299" t="e">
        <v>#VALUE!</v>
      </c>
      <c r="W228" s="299" t="e">
        <v>#VALUE!</v>
      </c>
      <c r="X228" s="299" t="e">
        <v>#VALUE!</v>
      </c>
      <c r="Y228" s="299" t="e">
        <v>#VALUE!</v>
      </c>
      <c r="Z228" s="299" t="e">
        <v>#VALUE!</v>
      </c>
      <c r="AA228" s="299" t="e">
        <v>#VALUE!</v>
      </c>
      <c r="AB228" s="299" t="e">
        <v>#VALUE!</v>
      </c>
      <c r="AC228" s="299" t="e">
        <v>#VALUE!</v>
      </c>
      <c r="AD228" s="299" t="e">
        <v>#VALUE!</v>
      </c>
      <c r="AE228" s="299" t="e">
        <v>#VALUE!</v>
      </c>
      <c r="AF228" s="299" t="e">
        <v>#VALUE!</v>
      </c>
      <c r="AG228" s="299" t="e">
        <v>#VALUE!</v>
      </c>
      <c r="AH228" s="300" t="e">
        <f>SUM(D228:AG228)</f>
        <v>#VALUE!</v>
      </c>
    </row>
    <row r="229" spans="1:34">
      <c r="C229" s="301" t="s">
        <v>1</v>
      </c>
      <c r="D229" s="302">
        <v>1</v>
      </c>
      <c r="E229" s="302">
        <f t="shared" ref="E229:AG229" si="57">D229+1</f>
        <v>2</v>
      </c>
      <c r="F229" s="302">
        <f t="shared" si="57"/>
        <v>3</v>
      </c>
      <c r="G229" s="302">
        <f t="shared" si="57"/>
        <v>4</v>
      </c>
      <c r="H229" s="302">
        <f t="shared" si="57"/>
        <v>5</v>
      </c>
      <c r="I229" s="302">
        <f t="shared" si="57"/>
        <v>6</v>
      </c>
      <c r="J229" s="302">
        <f t="shared" si="57"/>
        <v>7</v>
      </c>
      <c r="K229" s="302">
        <f t="shared" si="57"/>
        <v>8</v>
      </c>
      <c r="L229" s="302">
        <f t="shared" si="57"/>
        <v>9</v>
      </c>
      <c r="M229" s="302">
        <f t="shared" si="57"/>
        <v>10</v>
      </c>
      <c r="N229" s="302">
        <f t="shared" si="57"/>
        <v>11</v>
      </c>
      <c r="O229" s="302">
        <f t="shared" si="57"/>
        <v>12</v>
      </c>
      <c r="P229" s="302">
        <f t="shared" si="57"/>
        <v>13</v>
      </c>
      <c r="Q229" s="302">
        <f t="shared" si="57"/>
        <v>14</v>
      </c>
      <c r="R229" s="302">
        <f t="shared" si="57"/>
        <v>15</v>
      </c>
      <c r="S229" s="302">
        <f t="shared" si="57"/>
        <v>16</v>
      </c>
      <c r="T229" s="302">
        <f t="shared" si="57"/>
        <v>17</v>
      </c>
      <c r="U229" s="302">
        <f t="shared" si="57"/>
        <v>18</v>
      </c>
      <c r="V229" s="302">
        <f t="shared" si="57"/>
        <v>19</v>
      </c>
      <c r="W229" s="302">
        <f t="shared" si="57"/>
        <v>20</v>
      </c>
      <c r="X229" s="302">
        <f t="shared" si="57"/>
        <v>21</v>
      </c>
      <c r="Y229" s="302">
        <f t="shared" si="57"/>
        <v>22</v>
      </c>
      <c r="Z229" s="302">
        <f t="shared" si="57"/>
        <v>23</v>
      </c>
      <c r="AA229" s="302">
        <f t="shared" si="57"/>
        <v>24</v>
      </c>
      <c r="AB229" s="302">
        <f t="shared" si="57"/>
        <v>25</v>
      </c>
      <c r="AC229" s="302">
        <f t="shared" si="57"/>
        <v>26</v>
      </c>
      <c r="AD229" s="302">
        <f t="shared" si="57"/>
        <v>27</v>
      </c>
      <c r="AE229" s="302">
        <f t="shared" si="57"/>
        <v>28</v>
      </c>
      <c r="AF229" s="302">
        <f t="shared" si="57"/>
        <v>29</v>
      </c>
      <c r="AG229" s="302">
        <f t="shared" si="57"/>
        <v>30</v>
      </c>
      <c r="AH229" s="303" t="s">
        <v>0</v>
      </c>
    </row>
    <row r="230" spans="1:34">
      <c r="C230" s="304">
        <v>0</v>
      </c>
      <c r="D230" s="305"/>
      <c r="E230" s="305"/>
      <c r="F230" s="305"/>
      <c r="G230" s="305"/>
      <c r="H230" s="305"/>
      <c r="I230" s="305"/>
      <c r="J230" s="305"/>
      <c r="K230" s="305"/>
      <c r="L230" s="305"/>
      <c r="M230" s="305"/>
      <c r="N230" s="305"/>
      <c r="O230" s="305"/>
      <c r="P230" s="305"/>
      <c r="Q230" s="305"/>
      <c r="R230" s="305"/>
      <c r="S230" s="305"/>
      <c r="T230" s="305"/>
      <c r="U230" s="305"/>
      <c r="V230" s="305"/>
      <c r="W230" s="305"/>
      <c r="X230" s="305"/>
      <c r="Y230" s="305"/>
      <c r="Z230" s="305"/>
      <c r="AA230" s="305"/>
      <c r="AB230" s="305"/>
      <c r="AC230" s="305"/>
      <c r="AD230" s="305"/>
      <c r="AE230" s="305"/>
      <c r="AF230" s="305"/>
      <c r="AG230" s="305"/>
      <c r="AH230" s="306">
        <f t="shared" ref="AH230:AH260" si="58">SUM(D230:AG230)</f>
        <v>0</v>
      </c>
    </row>
    <row r="231" spans="1:34">
      <c r="C231" s="304">
        <f t="shared" ref="C231:C260" si="59">1+C230</f>
        <v>1</v>
      </c>
      <c r="D231" s="305"/>
      <c r="E231" s="305"/>
      <c r="F231" s="305"/>
      <c r="G231" s="305"/>
      <c r="H231" s="305"/>
      <c r="I231" s="305"/>
      <c r="J231" s="305"/>
      <c r="K231" s="305"/>
      <c r="L231" s="305"/>
      <c r="M231" s="305"/>
      <c r="N231" s="305"/>
      <c r="O231" s="305"/>
      <c r="P231" s="305"/>
      <c r="Q231" s="305"/>
      <c r="R231" s="305"/>
      <c r="S231" s="305"/>
      <c r="T231" s="305"/>
      <c r="U231" s="305"/>
      <c r="V231" s="305"/>
      <c r="W231" s="305"/>
      <c r="X231" s="305"/>
      <c r="Y231" s="305"/>
      <c r="Z231" s="305"/>
      <c r="AA231" s="305"/>
      <c r="AB231" s="305"/>
      <c r="AC231" s="305"/>
      <c r="AD231" s="305"/>
      <c r="AE231" s="305"/>
      <c r="AF231" s="305"/>
      <c r="AG231" s="305"/>
      <c r="AH231" s="310">
        <f t="shared" si="58"/>
        <v>0</v>
      </c>
    </row>
    <row r="232" spans="1:34">
      <c r="C232" s="304">
        <f t="shared" si="59"/>
        <v>2</v>
      </c>
      <c r="D232" s="308" t="e">
        <f>D$228/7</f>
        <v>#VALUE!</v>
      </c>
      <c r="E232" s="305"/>
      <c r="F232" s="305"/>
      <c r="G232" s="305"/>
      <c r="H232" s="305"/>
      <c r="I232" s="305"/>
      <c r="J232" s="305"/>
      <c r="K232" s="305"/>
      <c r="L232" s="305"/>
      <c r="M232" s="305"/>
      <c r="N232" s="305"/>
      <c r="O232" s="305"/>
      <c r="P232" s="305"/>
      <c r="Q232" s="305"/>
      <c r="R232" s="305"/>
      <c r="S232" s="305"/>
      <c r="T232" s="305"/>
      <c r="U232" s="305"/>
      <c r="V232" s="305"/>
      <c r="W232" s="305"/>
      <c r="X232" s="305"/>
      <c r="Y232" s="305"/>
      <c r="Z232" s="305"/>
      <c r="AA232" s="305"/>
      <c r="AB232" s="305"/>
      <c r="AC232" s="305"/>
      <c r="AD232" s="305"/>
      <c r="AE232" s="305"/>
      <c r="AF232" s="305"/>
      <c r="AG232" s="305"/>
      <c r="AH232" s="310" t="e">
        <f t="shared" si="58"/>
        <v>#VALUE!</v>
      </c>
    </row>
    <row r="233" spans="1:34">
      <c r="C233" s="304">
        <f t="shared" si="59"/>
        <v>3</v>
      </c>
      <c r="D233" s="305" t="e">
        <f t="shared" ref="D233:D238" si="60">D232</f>
        <v>#VALUE!</v>
      </c>
      <c r="E233" s="308" t="e">
        <f>E$228/7</f>
        <v>#VALUE!</v>
      </c>
      <c r="F233" s="305"/>
      <c r="G233" s="305"/>
      <c r="H233" s="305"/>
      <c r="I233" s="305"/>
      <c r="J233" s="305"/>
      <c r="K233" s="305"/>
      <c r="L233" s="305"/>
      <c r="M233" s="305"/>
      <c r="N233" s="305"/>
      <c r="O233" s="305"/>
      <c r="P233" s="305"/>
      <c r="Q233" s="305"/>
      <c r="R233" s="305"/>
      <c r="S233" s="305"/>
      <c r="T233" s="305"/>
      <c r="U233" s="305"/>
      <c r="V233" s="305"/>
      <c r="W233" s="305"/>
      <c r="X233" s="305"/>
      <c r="Y233" s="305"/>
      <c r="Z233" s="305"/>
      <c r="AA233" s="305"/>
      <c r="AB233" s="305"/>
      <c r="AC233" s="305"/>
      <c r="AD233" s="305"/>
      <c r="AE233" s="305"/>
      <c r="AF233" s="305"/>
      <c r="AG233" s="305"/>
      <c r="AH233" s="310" t="e">
        <f t="shared" si="58"/>
        <v>#VALUE!</v>
      </c>
    </row>
    <row r="234" spans="1:34">
      <c r="C234" s="304">
        <f t="shared" si="59"/>
        <v>4</v>
      </c>
      <c r="D234" s="305" t="e">
        <f t="shared" si="60"/>
        <v>#VALUE!</v>
      </c>
      <c r="E234" s="305" t="e">
        <f t="shared" ref="E234:E239" si="61">E233</f>
        <v>#VALUE!</v>
      </c>
      <c r="F234" s="308" t="e">
        <f>F$228/7</f>
        <v>#VALUE!</v>
      </c>
      <c r="G234" s="305"/>
      <c r="H234" s="305"/>
      <c r="I234" s="305"/>
      <c r="J234" s="305"/>
      <c r="K234" s="305"/>
      <c r="L234" s="305"/>
      <c r="M234" s="305"/>
      <c r="N234" s="305"/>
      <c r="O234" s="305"/>
      <c r="P234" s="305"/>
      <c r="Q234" s="305"/>
      <c r="R234" s="305"/>
      <c r="S234" s="305"/>
      <c r="T234" s="305"/>
      <c r="U234" s="305"/>
      <c r="V234" s="305"/>
      <c r="W234" s="305"/>
      <c r="X234" s="305"/>
      <c r="Y234" s="305"/>
      <c r="Z234" s="305"/>
      <c r="AA234" s="305"/>
      <c r="AB234" s="305"/>
      <c r="AC234" s="305"/>
      <c r="AD234" s="305"/>
      <c r="AE234" s="305"/>
      <c r="AF234" s="305"/>
      <c r="AG234" s="305"/>
      <c r="AH234" s="310" t="e">
        <f t="shared" si="58"/>
        <v>#VALUE!</v>
      </c>
    </row>
    <row r="235" spans="1:34">
      <c r="C235" s="304">
        <f t="shared" si="59"/>
        <v>5</v>
      </c>
      <c r="D235" s="305" t="e">
        <f t="shared" si="60"/>
        <v>#VALUE!</v>
      </c>
      <c r="E235" s="305" t="e">
        <f t="shared" si="61"/>
        <v>#VALUE!</v>
      </c>
      <c r="F235" s="305" t="e">
        <f t="shared" ref="F235:F240" si="62">F234</f>
        <v>#VALUE!</v>
      </c>
      <c r="G235" s="308" t="e">
        <f>G$228/7</f>
        <v>#VALUE!</v>
      </c>
      <c r="H235" s="305"/>
      <c r="I235" s="305"/>
      <c r="J235" s="305"/>
      <c r="K235" s="305"/>
      <c r="L235" s="305"/>
      <c r="M235" s="305"/>
      <c r="N235" s="305"/>
      <c r="O235" s="305"/>
      <c r="P235" s="305"/>
      <c r="Q235" s="305"/>
      <c r="R235" s="305"/>
      <c r="S235" s="305"/>
      <c r="T235" s="305"/>
      <c r="U235" s="305"/>
      <c r="V235" s="305"/>
      <c r="W235" s="305"/>
      <c r="X235" s="305"/>
      <c r="Y235" s="305"/>
      <c r="Z235" s="305"/>
      <c r="AA235" s="305"/>
      <c r="AB235" s="305"/>
      <c r="AC235" s="305"/>
      <c r="AD235" s="305"/>
      <c r="AE235" s="305"/>
      <c r="AF235" s="305"/>
      <c r="AG235" s="305"/>
      <c r="AH235" s="310" t="e">
        <f t="shared" si="58"/>
        <v>#VALUE!</v>
      </c>
    </row>
    <row r="236" spans="1:34">
      <c r="C236" s="304">
        <f t="shared" si="59"/>
        <v>6</v>
      </c>
      <c r="D236" s="305" t="e">
        <f t="shared" si="60"/>
        <v>#VALUE!</v>
      </c>
      <c r="E236" s="305" t="e">
        <f t="shared" si="61"/>
        <v>#VALUE!</v>
      </c>
      <c r="F236" s="305" t="e">
        <f t="shared" si="62"/>
        <v>#VALUE!</v>
      </c>
      <c r="G236" s="305" t="e">
        <f t="shared" ref="G236:G241" si="63">G235</f>
        <v>#VALUE!</v>
      </c>
      <c r="H236" s="308" t="e">
        <f>H$228/7</f>
        <v>#VALUE!</v>
      </c>
      <c r="I236" s="305"/>
      <c r="J236" s="305"/>
      <c r="K236" s="305"/>
      <c r="L236" s="305"/>
      <c r="M236" s="305"/>
      <c r="N236" s="305"/>
      <c r="O236" s="305"/>
      <c r="P236" s="305"/>
      <c r="Q236" s="305"/>
      <c r="R236" s="305"/>
      <c r="S236" s="305"/>
      <c r="T236" s="305"/>
      <c r="U236" s="305"/>
      <c r="V236" s="305"/>
      <c r="W236" s="305"/>
      <c r="X236" s="305"/>
      <c r="Y236" s="305"/>
      <c r="Z236" s="305"/>
      <c r="AA236" s="305"/>
      <c r="AB236" s="305"/>
      <c r="AC236" s="305"/>
      <c r="AD236" s="305"/>
      <c r="AE236" s="305"/>
      <c r="AF236" s="305"/>
      <c r="AG236" s="305"/>
      <c r="AH236" s="310" t="e">
        <f t="shared" si="58"/>
        <v>#VALUE!</v>
      </c>
    </row>
    <row r="237" spans="1:34">
      <c r="C237" s="304">
        <f t="shared" si="59"/>
        <v>7</v>
      </c>
      <c r="D237" s="305" t="e">
        <f t="shared" si="60"/>
        <v>#VALUE!</v>
      </c>
      <c r="E237" s="305" t="e">
        <f t="shared" si="61"/>
        <v>#VALUE!</v>
      </c>
      <c r="F237" s="305" t="e">
        <f t="shared" si="62"/>
        <v>#VALUE!</v>
      </c>
      <c r="G237" s="305" t="e">
        <f t="shared" si="63"/>
        <v>#VALUE!</v>
      </c>
      <c r="H237" s="305" t="e">
        <f t="shared" ref="H237:H242" si="64">H236</f>
        <v>#VALUE!</v>
      </c>
      <c r="I237" s="308" t="e">
        <f>I$228/7</f>
        <v>#VALUE!</v>
      </c>
      <c r="J237" s="325"/>
      <c r="K237" s="305"/>
      <c r="L237" s="305"/>
      <c r="M237" s="305"/>
      <c r="N237" s="305"/>
      <c r="O237" s="305"/>
      <c r="P237" s="305"/>
      <c r="Q237" s="305"/>
      <c r="R237" s="305"/>
      <c r="S237" s="305"/>
      <c r="T237" s="305"/>
      <c r="U237" s="305"/>
      <c r="V237" s="305"/>
      <c r="W237" s="305"/>
      <c r="X237" s="305"/>
      <c r="Y237" s="305"/>
      <c r="Z237" s="305"/>
      <c r="AA237" s="305"/>
      <c r="AB237" s="305"/>
      <c r="AC237" s="305"/>
      <c r="AD237" s="305"/>
      <c r="AE237" s="305"/>
      <c r="AF237" s="305"/>
      <c r="AG237" s="305"/>
      <c r="AH237" s="310" t="e">
        <f t="shared" si="58"/>
        <v>#VALUE!</v>
      </c>
    </row>
    <row r="238" spans="1:34">
      <c r="C238" s="304">
        <f t="shared" si="59"/>
        <v>8</v>
      </c>
      <c r="D238" s="305" t="e">
        <f t="shared" si="60"/>
        <v>#VALUE!</v>
      </c>
      <c r="E238" s="305" t="e">
        <f t="shared" si="61"/>
        <v>#VALUE!</v>
      </c>
      <c r="F238" s="305" t="e">
        <f t="shared" si="62"/>
        <v>#VALUE!</v>
      </c>
      <c r="G238" s="305" t="e">
        <f t="shared" si="63"/>
        <v>#VALUE!</v>
      </c>
      <c r="H238" s="305" t="e">
        <f t="shared" si="64"/>
        <v>#VALUE!</v>
      </c>
      <c r="I238" s="305" t="e">
        <f t="shared" ref="I238:I243" si="65">I237</f>
        <v>#VALUE!</v>
      </c>
      <c r="J238" s="308" t="e">
        <f>J$228/7</f>
        <v>#VALUE!</v>
      </c>
      <c r="K238" s="305"/>
      <c r="L238" s="305"/>
      <c r="M238" s="305"/>
      <c r="N238" s="305"/>
      <c r="O238" s="305"/>
      <c r="P238" s="305"/>
      <c r="Q238" s="305"/>
      <c r="R238" s="305"/>
      <c r="S238" s="305"/>
      <c r="T238" s="305"/>
      <c r="U238" s="305"/>
      <c r="V238" s="305"/>
      <c r="W238" s="305"/>
      <c r="X238" s="305"/>
      <c r="Y238" s="305"/>
      <c r="Z238" s="305"/>
      <c r="AA238" s="305"/>
      <c r="AB238" s="305"/>
      <c r="AC238" s="305"/>
      <c r="AD238" s="305"/>
      <c r="AE238" s="305"/>
      <c r="AF238" s="305"/>
      <c r="AG238" s="305"/>
      <c r="AH238" s="310" t="e">
        <f t="shared" si="58"/>
        <v>#VALUE!</v>
      </c>
    </row>
    <row r="239" spans="1:34">
      <c r="C239" s="304">
        <f t="shared" si="59"/>
        <v>9</v>
      </c>
      <c r="D239" s="305"/>
      <c r="E239" s="305" t="e">
        <f t="shared" si="61"/>
        <v>#VALUE!</v>
      </c>
      <c r="F239" s="305" t="e">
        <f t="shared" si="62"/>
        <v>#VALUE!</v>
      </c>
      <c r="G239" s="305" t="e">
        <f t="shared" si="63"/>
        <v>#VALUE!</v>
      </c>
      <c r="H239" s="305" t="e">
        <f t="shared" si="64"/>
        <v>#VALUE!</v>
      </c>
      <c r="I239" s="305" t="e">
        <f t="shared" si="65"/>
        <v>#VALUE!</v>
      </c>
      <c r="J239" s="305" t="e">
        <f t="shared" ref="J239:J244" si="66">J238</f>
        <v>#VALUE!</v>
      </c>
      <c r="K239" s="308" t="e">
        <f>K$228/7</f>
        <v>#VALUE!</v>
      </c>
      <c r="L239" s="305"/>
      <c r="M239" s="305"/>
      <c r="N239" s="305"/>
      <c r="O239" s="305"/>
      <c r="P239" s="305"/>
      <c r="Q239" s="305"/>
      <c r="R239" s="305"/>
      <c r="S239" s="305"/>
      <c r="T239" s="305"/>
      <c r="U239" s="305"/>
      <c r="V239" s="305"/>
      <c r="W239" s="305"/>
      <c r="X239" s="305"/>
      <c r="Y239" s="305"/>
      <c r="Z239" s="305"/>
      <c r="AA239" s="305"/>
      <c r="AB239" s="305"/>
      <c r="AC239" s="305"/>
      <c r="AD239" s="305"/>
      <c r="AE239" s="305"/>
      <c r="AF239" s="305"/>
      <c r="AG239" s="305"/>
      <c r="AH239" s="310" t="e">
        <f t="shared" si="58"/>
        <v>#VALUE!</v>
      </c>
    </row>
    <row r="240" spans="1:34">
      <c r="C240" s="304">
        <f t="shared" si="59"/>
        <v>10</v>
      </c>
      <c r="D240" s="305"/>
      <c r="E240" s="305"/>
      <c r="F240" s="305" t="e">
        <f t="shared" si="62"/>
        <v>#VALUE!</v>
      </c>
      <c r="G240" s="305" t="e">
        <f t="shared" si="63"/>
        <v>#VALUE!</v>
      </c>
      <c r="H240" s="305" t="e">
        <f t="shared" si="64"/>
        <v>#VALUE!</v>
      </c>
      <c r="I240" s="305" t="e">
        <f t="shared" si="65"/>
        <v>#VALUE!</v>
      </c>
      <c r="J240" s="305" t="e">
        <f t="shared" si="66"/>
        <v>#VALUE!</v>
      </c>
      <c r="K240" s="305" t="e">
        <f t="shared" ref="K240:K245" si="67">K239</f>
        <v>#VALUE!</v>
      </c>
      <c r="L240" s="308" t="e">
        <f>L$228/7</f>
        <v>#VALUE!</v>
      </c>
      <c r="M240" s="305"/>
      <c r="N240" s="305"/>
      <c r="O240" s="305"/>
      <c r="P240" s="305"/>
      <c r="Q240" s="305"/>
      <c r="R240" s="305"/>
      <c r="S240" s="305"/>
      <c r="T240" s="305"/>
      <c r="U240" s="305"/>
      <c r="V240" s="305"/>
      <c r="W240" s="305"/>
      <c r="X240" s="305"/>
      <c r="Y240" s="305"/>
      <c r="Z240" s="305"/>
      <c r="AA240" s="305"/>
      <c r="AB240" s="305"/>
      <c r="AC240" s="305"/>
      <c r="AD240" s="305"/>
      <c r="AE240" s="305"/>
      <c r="AF240" s="305"/>
      <c r="AG240" s="305"/>
      <c r="AH240" s="310" t="e">
        <f t="shared" si="58"/>
        <v>#VALUE!</v>
      </c>
    </row>
    <row r="241" spans="3:34">
      <c r="C241" s="304">
        <f t="shared" si="59"/>
        <v>11</v>
      </c>
      <c r="D241" s="305"/>
      <c r="E241" s="305"/>
      <c r="F241" s="305"/>
      <c r="G241" s="305" t="e">
        <f t="shared" si="63"/>
        <v>#VALUE!</v>
      </c>
      <c r="H241" s="305" t="e">
        <f t="shared" si="64"/>
        <v>#VALUE!</v>
      </c>
      <c r="I241" s="305" t="e">
        <f t="shared" si="65"/>
        <v>#VALUE!</v>
      </c>
      <c r="J241" s="305" t="e">
        <f t="shared" si="66"/>
        <v>#VALUE!</v>
      </c>
      <c r="K241" s="305" t="e">
        <f t="shared" si="67"/>
        <v>#VALUE!</v>
      </c>
      <c r="L241" s="305" t="e">
        <f t="shared" ref="L241:L246" si="68">L240</f>
        <v>#VALUE!</v>
      </c>
      <c r="M241" s="308" t="e">
        <f>M$228/7</f>
        <v>#VALUE!</v>
      </c>
      <c r="N241" s="305"/>
      <c r="O241" s="305"/>
      <c r="P241" s="305"/>
      <c r="Q241" s="305"/>
      <c r="R241" s="305"/>
      <c r="S241" s="305"/>
      <c r="T241" s="305"/>
      <c r="U241" s="305"/>
      <c r="V241" s="305"/>
      <c r="W241" s="305"/>
      <c r="X241" s="305"/>
      <c r="Y241" s="305"/>
      <c r="Z241" s="305"/>
      <c r="AA241" s="305"/>
      <c r="AB241" s="305"/>
      <c r="AC241" s="305"/>
      <c r="AD241" s="305"/>
      <c r="AE241" s="305"/>
      <c r="AF241" s="305"/>
      <c r="AG241" s="305"/>
      <c r="AH241" s="310" t="e">
        <f t="shared" si="58"/>
        <v>#VALUE!</v>
      </c>
    </row>
    <row r="242" spans="3:34">
      <c r="C242" s="304">
        <f t="shared" si="59"/>
        <v>12</v>
      </c>
      <c r="D242" s="305"/>
      <c r="E242" s="305"/>
      <c r="F242" s="305"/>
      <c r="G242" s="305"/>
      <c r="H242" s="305" t="e">
        <f t="shared" si="64"/>
        <v>#VALUE!</v>
      </c>
      <c r="I242" s="305" t="e">
        <f t="shared" si="65"/>
        <v>#VALUE!</v>
      </c>
      <c r="J242" s="305" t="e">
        <f t="shared" si="66"/>
        <v>#VALUE!</v>
      </c>
      <c r="K242" s="305" t="e">
        <f t="shared" si="67"/>
        <v>#VALUE!</v>
      </c>
      <c r="L242" s="305" t="e">
        <f t="shared" si="68"/>
        <v>#VALUE!</v>
      </c>
      <c r="M242" s="305" t="e">
        <f t="shared" ref="M242:M247" si="69">M241</f>
        <v>#VALUE!</v>
      </c>
      <c r="N242" s="308" t="e">
        <f>N$228/7</f>
        <v>#VALUE!</v>
      </c>
      <c r="O242" s="305"/>
      <c r="P242" s="305"/>
      <c r="Q242" s="305"/>
      <c r="R242" s="305"/>
      <c r="S242" s="305"/>
      <c r="T242" s="305"/>
      <c r="U242" s="305"/>
      <c r="V242" s="305"/>
      <c r="W242" s="305"/>
      <c r="X242" s="305"/>
      <c r="Y242" s="305"/>
      <c r="Z242" s="305"/>
      <c r="AA242" s="305"/>
      <c r="AB242" s="305"/>
      <c r="AC242" s="305"/>
      <c r="AD242" s="305"/>
      <c r="AE242" s="305"/>
      <c r="AF242" s="305"/>
      <c r="AG242" s="305"/>
      <c r="AH242" s="310" t="e">
        <f t="shared" si="58"/>
        <v>#VALUE!</v>
      </c>
    </row>
    <row r="243" spans="3:34">
      <c r="C243" s="304">
        <f t="shared" si="59"/>
        <v>13</v>
      </c>
      <c r="D243" s="305"/>
      <c r="E243" s="305"/>
      <c r="F243" s="305"/>
      <c r="G243" s="305"/>
      <c r="H243" s="305"/>
      <c r="I243" s="305" t="e">
        <f t="shared" si="65"/>
        <v>#VALUE!</v>
      </c>
      <c r="J243" s="305" t="e">
        <f t="shared" si="66"/>
        <v>#VALUE!</v>
      </c>
      <c r="K243" s="305" t="e">
        <f t="shared" si="67"/>
        <v>#VALUE!</v>
      </c>
      <c r="L243" s="305" t="e">
        <f t="shared" si="68"/>
        <v>#VALUE!</v>
      </c>
      <c r="M243" s="305" t="e">
        <f t="shared" si="69"/>
        <v>#VALUE!</v>
      </c>
      <c r="N243" s="305" t="e">
        <f t="shared" ref="N243:N248" si="70">N242</f>
        <v>#VALUE!</v>
      </c>
      <c r="O243" s="308" t="e">
        <f>O$228/7</f>
        <v>#VALUE!</v>
      </c>
      <c r="P243" s="325"/>
      <c r="Q243" s="305"/>
      <c r="R243" s="305"/>
      <c r="S243" s="305"/>
      <c r="T243" s="305"/>
      <c r="U243" s="305"/>
      <c r="V243" s="305"/>
      <c r="W243" s="305"/>
      <c r="X243" s="305"/>
      <c r="Y243" s="305"/>
      <c r="Z243" s="305"/>
      <c r="AA243" s="305"/>
      <c r="AB243" s="305"/>
      <c r="AC243" s="305"/>
      <c r="AD243" s="305"/>
      <c r="AE243" s="305"/>
      <c r="AF243" s="305"/>
      <c r="AG243" s="305"/>
      <c r="AH243" s="310" t="e">
        <f t="shared" si="58"/>
        <v>#VALUE!</v>
      </c>
    </row>
    <row r="244" spans="3:34">
      <c r="C244" s="304">
        <f t="shared" si="59"/>
        <v>14</v>
      </c>
      <c r="D244" s="305"/>
      <c r="E244" s="305"/>
      <c r="F244" s="305"/>
      <c r="G244" s="305"/>
      <c r="H244" s="305"/>
      <c r="I244" s="305"/>
      <c r="J244" s="305" t="e">
        <f t="shared" si="66"/>
        <v>#VALUE!</v>
      </c>
      <c r="K244" s="305" t="e">
        <f t="shared" si="67"/>
        <v>#VALUE!</v>
      </c>
      <c r="L244" s="305" t="e">
        <f t="shared" si="68"/>
        <v>#VALUE!</v>
      </c>
      <c r="M244" s="305" t="e">
        <f t="shared" si="69"/>
        <v>#VALUE!</v>
      </c>
      <c r="N244" s="305" t="e">
        <f t="shared" si="70"/>
        <v>#VALUE!</v>
      </c>
      <c r="O244" s="305" t="e">
        <f t="shared" ref="O244:O249" si="71">O243</f>
        <v>#VALUE!</v>
      </c>
      <c r="P244" s="308" t="e">
        <f>P$228/7</f>
        <v>#VALUE!</v>
      </c>
      <c r="Q244" s="305"/>
      <c r="R244" s="305"/>
      <c r="S244" s="305"/>
      <c r="T244" s="305"/>
      <c r="U244" s="305"/>
      <c r="V244" s="305"/>
      <c r="W244" s="305"/>
      <c r="X244" s="305"/>
      <c r="Y244" s="305"/>
      <c r="Z244" s="305"/>
      <c r="AA244" s="305"/>
      <c r="AB244" s="305"/>
      <c r="AC244" s="305"/>
      <c r="AD244" s="305"/>
      <c r="AE244" s="305"/>
      <c r="AF244" s="305"/>
      <c r="AG244" s="305"/>
      <c r="AH244" s="310" t="e">
        <f t="shared" si="58"/>
        <v>#VALUE!</v>
      </c>
    </row>
    <row r="245" spans="3:34">
      <c r="C245" s="304">
        <f t="shared" si="59"/>
        <v>15</v>
      </c>
      <c r="D245" s="305"/>
      <c r="E245" s="305"/>
      <c r="F245" s="305"/>
      <c r="G245" s="305"/>
      <c r="H245" s="305"/>
      <c r="I245" s="305"/>
      <c r="J245" s="305"/>
      <c r="K245" s="305" t="e">
        <f t="shared" si="67"/>
        <v>#VALUE!</v>
      </c>
      <c r="L245" s="305" t="e">
        <f t="shared" si="68"/>
        <v>#VALUE!</v>
      </c>
      <c r="M245" s="305" t="e">
        <f t="shared" si="69"/>
        <v>#VALUE!</v>
      </c>
      <c r="N245" s="305" t="e">
        <f t="shared" si="70"/>
        <v>#VALUE!</v>
      </c>
      <c r="O245" s="305" t="e">
        <f t="shared" si="71"/>
        <v>#VALUE!</v>
      </c>
      <c r="P245" s="305" t="e">
        <f t="shared" ref="P245:P250" si="72">P244</f>
        <v>#VALUE!</v>
      </c>
      <c r="Q245" s="308" t="e">
        <f>Q$228/7</f>
        <v>#VALUE!</v>
      </c>
      <c r="R245" s="305"/>
      <c r="S245" s="305"/>
      <c r="T245" s="305"/>
      <c r="U245" s="305"/>
      <c r="V245" s="305"/>
      <c r="W245" s="305"/>
      <c r="X245" s="305"/>
      <c r="Y245" s="305"/>
      <c r="Z245" s="305"/>
      <c r="AA245" s="305"/>
      <c r="AB245" s="305"/>
      <c r="AC245" s="305"/>
      <c r="AD245" s="305"/>
      <c r="AE245" s="305"/>
      <c r="AF245" s="305"/>
      <c r="AG245" s="305"/>
      <c r="AH245" s="310" t="e">
        <f t="shared" si="58"/>
        <v>#VALUE!</v>
      </c>
    </row>
    <row r="246" spans="3:34">
      <c r="C246" s="304">
        <f t="shared" si="59"/>
        <v>16</v>
      </c>
      <c r="D246" s="305"/>
      <c r="E246" s="305"/>
      <c r="F246" s="305"/>
      <c r="G246" s="305"/>
      <c r="H246" s="305"/>
      <c r="I246" s="305"/>
      <c r="J246" s="305"/>
      <c r="K246" s="305"/>
      <c r="L246" s="305" t="e">
        <f t="shared" si="68"/>
        <v>#VALUE!</v>
      </c>
      <c r="M246" s="305" t="e">
        <f t="shared" si="69"/>
        <v>#VALUE!</v>
      </c>
      <c r="N246" s="305" t="e">
        <f t="shared" si="70"/>
        <v>#VALUE!</v>
      </c>
      <c r="O246" s="305" t="e">
        <f t="shared" si="71"/>
        <v>#VALUE!</v>
      </c>
      <c r="P246" s="305" t="e">
        <f t="shared" si="72"/>
        <v>#VALUE!</v>
      </c>
      <c r="Q246" s="305" t="e">
        <f t="shared" ref="Q246:Q251" si="73">Q245</f>
        <v>#VALUE!</v>
      </c>
      <c r="R246" s="308" t="e">
        <f>R$228/7</f>
        <v>#VALUE!</v>
      </c>
      <c r="S246" s="305"/>
      <c r="T246" s="305"/>
      <c r="U246" s="305"/>
      <c r="V246" s="305"/>
      <c r="W246" s="305"/>
      <c r="X246" s="305"/>
      <c r="Y246" s="305"/>
      <c r="Z246" s="305"/>
      <c r="AA246" s="305"/>
      <c r="AB246" s="305"/>
      <c r="AC246" s="305"/>
      <c r="AD246" s="305"/>
      <c r="AE246" s="305"/>
      <c r="AF246" s="305"/>
      <c r="AG246" s="305"/>
      <c r="AH246" s="310" t="e">
        <f t="shared" si="58"/>
        <v>#VALUE!</v>
      </c>
    </row>
    <row r="247" spans="3:34">
      <c r="C247" s="304">
        <f t="shared" si="59"/>
        <v>17</v>
      </c>
      <c r="D247" s="305"/>
      <c r="E247" s="305"/>
      <c r="F247" s="305"/>
      <c r="G247" s="305"/>
      <c r="H247" s="305"/>
      <c r="I247" s="305"/>
      <c r="J247" s="305"/>
      <c r="K247" s="305"/>
      <c r="L247" s="305"/>
      <c r="M247" s="305" t="e">
        <f t="shared" si="69"/>
        <v>#VALUE!</v>
      </c>
      <c r="N247" s="305" t="e">
        <f t="shared" si="70"/>
        <v>#VALUE!</v>
      </c>
      <c r="O247" s="305" t="e">
        <f t="shared" si="71"/>
        <v>#VALUE!</v>
      </c>
      <c r="P247" s="305" t="e">
        <f t="shared" si="72"/>
        <v>#VALUE!</v>
      </c>
      <c r="Q247" s="305" t="e">
        <f t="shared" si="73"/>
        <v>#VALUE!</v>
      </c>
      <c r="R247" s="305" t="e">
        <f t="shared" ref="R247:R252" si="74">R246</f>
        <v>#VALUE!</v>
      </c>
      <c r="S247" s="308" t="e">
        <f>S$228/7</f>
        <v>#VALUE!</v>
      </c>
      <c r="T247" s="305"/>
      <c r="U247" s="305"/>
      <c r="V247" s="305"/>
      <c r="W247" s="305"/>
      <c r="X247" s="305"/>
      <c r="Y247" s="305"/>
      <c r="Z247" s="305"/>
      <c r="AA247" s="305"/>
      <c r="AB247" s="305"/>
      <c r="AC247" s="305"/>
      <c r="AD247" s="305"/>
      <c r="AE247" s="305"/>
      <c r="AF247" s="305"/>
      <c r="AG247" s="305"/>
      <c r="AH247" s="310" t="e">
        <f t="shared" si="58"/>
        <v>#VALUE!</v>
      </c>
    </row>
    <row r="248" spans="3:34">
      <c r="C248" s="304">
        <f t="shared" si="59"/>
        <v>18</v>
      </c>
      <c r="D248" s="305"/>
      <c r="E248" s="305"/>
      <c r="F248" s="305"/>
      <c r="G248" s="305"/>
      <c r="H248" s="305"/>
      <c r="I248" s="305"/>
      <c r="J248" s="305"/>
      <c r="K248" s="305"/>
      <c r="L248" s="305"/>
      <c r="M248" s="305"/>
      <c r="N248" s="305" t="e">
        <f t="shared" si="70"/>
        <v>#VALUE!</v>
      </c>
      <c r="O248" s="305" t="e">
        <f t="shared" si="71"/>
        <v>#VALUE!</v>
      </c>
      <c r="P248" s="305" t="e">
        <f t="shared" si="72"/>
        <v>#VALUE!</v>
      </c>
      <c r="Q248" s="305" t="e">
        <f t="shared" si="73"/>
        <v>#VALUE!</v>
      </c>
      <c r="R248" s="305" t="e">
        <f t="shared" si="74"/>
        <v>#VALUE!</v>
      </c>
      <c r="S248" s="305" t="e">
        <f t="shared" ref="S248:S253" si="75">S247</f>
        <v>#VALUE!</v>
      </c>
      <c r="T248" s="308" t="e">
        <f>T$228/7</f>
        <v>#VALUE!</v>
      </c>
      <c r="U248" s="305"/>
      <c r="V248" s="305"/>
      <c r="W248" s="305"/>
      <c r="X248" s="305"/>
      <c r="Y248" s="305"/>
      <c r="Z248" s="305"/>
      <c r="AA248" s="305"/>
      <c r="AB248" s="305"/>
      <c r="AC248" s="305"/>
      <c r="AD248" s="305"/>
      <c r="AE248" s="305"/>
      <c r="AF248" s="305"/>
      <c r="AG248" s="305"/>
      <c r="AH248" s="310" t="e">
        <f t="shared" si="58"/>
        <v>#VALUE!</v>
      </c>
    </row>
    <row r="249" spans="3:34">
      <c r="C249" s="304">
        <f t="shared" si="59"/>
        <v>19</v>
      </c>
      <c r="D249" s="305"/>
      <c r="E249" s="305"/>
      <c r="F249" s="305"/>
      <c r="G249" s="305"/>
      <c r="H249" s="305"/>
      <c r="I249" s="305"/>
      <c r="J249" s="305"/>
      <c r="K249" s="305"/>
      <c r="L249" s="305"/>
      <c r="M249" s="305"/>
      <c r="N249" s="305"/>
      <c r="O249" s="305" t="e">
        <f t="shared" si="71"/>
        <v>#VALUE!</v>
      </c>
      <c r="P249" s="305" t="e">
        <f t="shared" si="72"/>
        <v>#VALUE!</v>
      </c>
      <c r="Q249" s="305" t="e">
        <f t="shared" si="73"/>
        <v>#VALUE!</v>
      </c>
      <c r="R249" s="305" t="e">
        <f t="shared" si="74"/>
        <v>#VALUE!</v>
      </c>
      <c r="S249" s="305" t="e">
        <f t="shared" si="75"/>
        <v>#VALUE!</v>
      </c>
      <c r="T249" s="305" t="e">
        <f t="shared" ref="T249:T254" si="76">T248</f>
        <v>#VALUE!</v>
      </c>
      <c r="U249" s="308" t="e">
        <f>U$228/7</f>
        <v>#VALUE!</v>
      </c>
      <c r="V249" s="305"/>
      <c r="W249" s="305"/>
      <c r="X249" s="305"/>
      <c r="Y249" s="305"/>
      <c r="Z249" s="305"/>
      <c r="AA249" s="305"/>
      <c r="AB249" s="305"/>
      <c r="AC249" s="305"/>
      <c r="AD249" s="305"/>
      <c r="AE249" s="305"/>
      <c r="AF249" s="305"/>
      <c r="AG249" s="305"/>
      <c r="AH249" s="310" t="e">
        <f t="shared" si="58"/>
        <v>#VALUE!</v>
      </c>
    </row>
    <row r="250" spans="3:34">
      <c r="C250" s="304">
        <f t="shared" si="59"/>
        <v>20</v>
      </c>
      <c r="D250" s="305"/>
      <c r="E250" s="305"/>
      <c r="F250" s="305"/>
      <c r="G250" s="305"/>
      <c r="H250" s="305"/>
      <c r="I250" s="305"/>
      <c r="J250" s="305"/>
      <c r="K250" s="305"/>
      <c r="L250" s="305"/>
      <c r="M250" s="305"/>
      <c r="N250" s="305"/>
      <c r="O250" s="305"/>
      <c r="P250" s="305" t="e">
        <f t="shared" si="72"/>
        <v>#VALUE!</v>
      </c>
      <c r="Q250" s="305" t="e">
        <f t="shared" si="73"/>
        <v>#VALUE!</v>
      </c>
      <c r="R250" s="305" t="e">
        <f t="shared" si="74"/>
        <v>#VALUE!</v>
      </c>
      <c r="S250" s="305" t="e">
        <f t="shared" si="75"/>
        <v>#VALUE!</v>
      </c>
      <c r="T250" s="305" t="e">
        <f t="shared" si="76"/>
        <v>#VALUE!</v>
      </c>
      <c r="U250" s="305" t="e">
        <f t="shared" ref="U250:U255" si="77">U249</f>
        <v>#VALUE!</v>
      </c>
      <c r="V250" s="308" t="e">
        <f>V$228/7</f>
        <v>#VALUE!</v>
      </c>
      <c r="W250" s="305"/>
      <c r="X250" s="305"/>
      <c r="Y250" s="305"/>
      <c r="Z250" s="305"/>
      <c r="AA250" s="305"/>
      <c r="AB250" s="305"/>
      <c r="AC250" s="305"/>
      <c r="AD250" s="305"/>
      <c r="AE250" s="305"/>
      <c r="AF250" s="305"/>
      <c r="AG250" s="305"/>
      <c r="AH250" s="310" t="e">
        <f t="shared" si="58"/>
        <v>#VALUE!</v>
      </c>
    </row>
    <row r="251" spans="3:34">
      <c r="C251" s="304">
        <f t="shared" si="59"/>
        <v>21</v>
      </c>
      <c r="D251" s="305"/>
      <c r="E251" s="305"/>
      <c r="F251" s="305"/>
      <c r="G251" s="305"/>
      <c r="H251" s="305"/>
      <c r="I251" s="305"/>
      <c r="J251" s="305"/>
      <c r="K251" s="305"/>
      <c r="L251" s="305"/>
      <c r="M251" s="305"/>
      <c r="N251" s="305"/>
      <c r="O251" s="305"/>
      <c r="P251" s="305"/>
      <c r="Q251" s="305" t="e">
        <f t="shared" si="73"/>
        <v>#VALUE!</v>
      </c>
      <c r="R251" s="305" t="e">
        <f t="shared" si="74"/>
        <v>#VALUE!</v>
      </c>
      <c r="S251" s="305" t="e">
        <f t="shared" si="75"/>
        <v>#VALUE!</v>
      </c>
      <c r="T251" s="305" t="e">
        <f t="shared" si="76"/>
        <v>#VALUE!</v>
      </c>
      <c r="U251" s="305" t="e">
        <f t="shared" si="77"/>
        <v>#VALUE!</v>
      </c>
      <c r="V251" s="305" t="e">
        <f t="shared" ref="V251:V256" si="78">V250</f>
        <v>#VALUE!</v>
      </c>
      <c r="W251" s="308" t="e">
        <f>W$228/7</f>
        <v>#VALUE!</v>
      </c>
      <c r="X251" s="305"/>
      <c r="Y251" s="305"/>
      <c r="Z251" s="305"/>
      <c r="AA251" s="305"/>
      <c r="AB251" s="305"/>
      <c r="AC251" s="305"/>
      <c r="AD251" s="305"/>
      <c r="AE251" s="305"/>
      <c r="AF251" s="305"/>
      <c r="AG251" s="305"/>
      <c r="AH251" s="310" t="e">
        <f t="shared" si="58"/>
        <v>#VALUE!</v>
      </c>
    </row>
    <row r="252" spans="3:34">
      <c r="C252" s="304">
        <f t="shared" si="59"/>
        <v>22</v>
      </c>
      <c r="D252" s="305"/>
      <c r="E252" s="305"/>
      <c r="F252" s="305"/>
      <c r="G252" s="305"/>
      <c r="H252" s="305"/>
      <c r="I252" s="305"/>
      <c r="J252" s="305"/>
      <c r="K252" s="305"/>
      <c r="L252" s="305"/>
      <c r="M252" s="305"/>
      <c r="N252" s="305"/>
      <c r="O252" s="305"/>
      <c r="P252" s="305"/>
      <c r="Q252" s="305"/>
      <c r="R252" s="305" t="e">
        <f t="shared" si="74"/>
        <v>#VALUE!</v>
      </c>
      <c r="S252" s="305" t="e">
        <f t="shared" si="75"/>
        <v>#VALUE!</v>
      </c>
      <c r="T252" s="305" t="e">
        <f t="shared" si="76"/>
        <v>#VALUE!</v>
      </c>
      <c r="U252" s="305" t="e">
        <f t="shared" si="77"/>
        <v>#VALUE!</v>
      </c>
      <c r="V252" s="305" t="e">
        <f t="shared" si="78"/>
        <v>#VALUE!</v>
      </c>
      <c r="W252" s="305" t="e">
        <f t="shared" ref="W252:W257" si="79">W251</f>
        <v>#VALUE!</v>
      </c>
      <c r="X252" s="308" t="e">
        <f>X$228/7</f>
        <v>#VALUE!</v>
      </c>
      <c r="Y252" s="305"/>
      <c r="Z252" s="305"/>
      <c r="AA252" s="305"/>
      <c r="AB252" s="305"/>
      <c r="AC252" s="305"/>
      <c r="AD252" s="305"/>
      <c r="AE252" s="305"/>
      <c r="AF252" s="305"/>
      <c r="AG252" s="305"/>
      <c r="AH252" s="310" t="e">
        <f t="shared" si="58"/>
        <v>#VALUE!</v>
      </c>
    </row>
    <row r="253" spans="3:34">
      <c r="C253" s="304">
        <f t="shared" si="59"/>
        <v>23</v>
      </c>
      <c r="D253" s="305"/>
      <c r="E253" s="305"/>
      <c r="F253" s="305"/>
      <c r="G253" s="305"/>
      <c r="H253" s="305"/>
      <c r="I253" s="305"/>
      <c r="J253" s="305"/>
      <c r="K253" s="305"/>
      <c r="L253" s="305"/>
      <c r="M253" s="305"/>
      <c r="N253" s="305"/>
      <c r="O253" s="305"/>
      <c r="P253" s="305"/>
      <c r="Q253" s="305"/>
      <c r="R253" s="305"/>
      <c r="S253" s="305" t="e">
        <f t="shared" si="75"/>
        <v>#VALUE!</v>
      </c>
      <c r="T253" s="305" t="e">
        <f t="shared" si="76"/>
        <v>#VALUE!</v>
      </c>
      <c r="U253" s="305" t="e">
        <f t="shared" si="77"/>
        <v>#VALUE!</v>
      </c>
      <c r="V253" s="305" t="e">
        <f t="shared" si="78"/>
        <v>#VALUE!</v>
      </c>
      <c r="W253" s="305" t="e">
        <f t="shared" si="79"/>
        <v>#VALUE!</v>
      </c>
      <c r="X253" s="305" t="e">
        <f t="shared" ref="X253:X258" si="80">X252</f>
        <v>#VALUE!</v>
      </c>
      <c r="Y253" s="308" t="e">
        <f>Y$228/7</f>
        <v>#VALUE!</v>
      </c>
      <c r="Z253" s="305"/>
      <c r="AA253" s="305"/>
      <c r="AB253" s="305"/>
      <c r="AC253" s="305"/>
      <c r="AD253" s="305"/>
      <c r="AE253" s="305"/>
      <c r="AF253" s="305"/>
      <c r="AG253" s="305"/>
      <c r="AH253" s="310" t="e">
        <f t="shared" si="58"/>
        <v>#VALUE!</v>
      </c>
    </row>
    <row r="254" spans="3:34">
      <c r="C254" s="304">
        <f t="shared" si="59"/>
        <v>24</v>
      </c>
      <c r="D254" s="305"/>
      <c r="E254" s="305"/>
      <c r="F254" s="305"/>
      <c r="G254" s="305"/>
      <c r="H254" s="305"/>
      <c r="I254" s="305"/>
      <c r="J254" s="305"/>
      <c r="K254" s="305"/>
      <c r="L254" s="305"/>
      <c r="M254" s="305"/>
      <c r="N254" s="305"/>
      <c r="O254" s="305"/>
      <c r="P254" s="305"/>
      <c r="Q254" s="305"/>
      <c r="R254" s="305"/>
      <c r="S254" s="305"/>
      <c r="T254" s="305" t="e">
        <f t="shared" si="76"/>
        <v>#VALUE!</v>
      </c>
      <c r="U254" s="305" t="e">
        <f t="shared" si="77"/>
        <v>#VALUE!</v>
      </c>
      <c r="V254" s="305" t="e">
        <f t="shared" si="78"/>
        <v>#VALUE!</v>
      </c>
      <c r="W254" s="305" t="e">
        <f t="shared" si="79"/>
        <v>#VALUE!</v>
      </c>
      <c r="X254" s="305" t="e">
        <f t="shared" si="80"/>
        <v>#VALUE!</v>
      </c>
      <c r="Y254" s="305" t="e">
        <f t="shared" ref="Y254:Y259" si="81">Y253</f>
        <v>#VALUE!</v>
      </c>
      <c r="Z254" s="308" t="e">
        <f>Z$228/7</f>
        <v>#VALUE!</v>
      </c>
      <c r="AA254" s="305"/>
      <c r="AB254" s="305"/>
      <c r="AC254" s="305"/>
      <c r="AD254" s="305"/>
      <c r="AE254" s="305"/>
      <c r="AF254" s="305"/>
      <c r="AG254" s="305"/>
      <c r="AH254" s="310" t="e">
        <f t="shared" si="58"/>
        <v>#VALUE!</v>
      </c>
    </row>
    <row r="255" spans="3:34">
      <c r="C255" s="304">
        <f t="shared" si="59"/>
        <v>25</v>
      </c>
      <c r="D255" s="305"/>
      <c r="E255" s="305"/>
      <c r="F255" s="305"/>
      <c r="G255" s="305"/>
      <c r="H255" s="305"/>
      <c r="I255" s="305"/>
      <c r="J255" s="305"/>
      <c r="K255" s="305"/>
      <c r="L255" s="305"/>
      <c r="M255" s="305"/>
      <c r="N255" s="305"/>
      <c r="O255" s="305"/>
      <c r="P255" s="305"/>
      <c r="Q255" s="305"/>
      <c r="R255" s="305"/>
      <c r="S255" s="305"/>
      <c r="T255" s="305"/>
      <c r="U255" s="305" t="e">
        <f t="shared" si="77"/>
        <v>#VALUE!</v>
      </c>
      <c r="V255" s="305" t="e">
        <f t="shared" si="78"/>
        <v>#VALUE!</v>
      </c>
      <c r="W255" s="305" t="e">
        <f t="shared" si="79"/>
        <v>#VALUE!</v>
      </c>
      <c r="X255" s="305" t="e">
        <f t="shared" si="80"/>
        <v>#VALUE!</v>
      </c>
      <c r="Y255" s="305" t="e">
        <f t="shared" si="81"/>
        <v>#VALUE!</v>
      </c>
      <c r="Z255" s="305" t="e">
        <f t="shared" ref="Z255:Z260" si="82">Z254</f>
        <v>#VALUE!</v>
      </c>
      <c r="AA255" s="308" t="e">
        <f>AA228/6</f>
        <v>#VALUE!</v>
      </c>
      <c r="AB255" s="305"/>
      <c r="AC255" s="305"/>
      <c r="AD255" s="305"/>
      <c r="AE255" s="305"/>
      <c r="AF255" s="305"/>
      <c r="AG255" s="305"/>
      <c r="AH255" s="310" t="e">
        <f t="shared" si="58"/>
        <v>#VALUE!</v>
      </c>
    </row>
    <row r="256" spans="3:34">
      <c r="C256" s="304">
        <f t="shared" si="59"/>
        <v>26</v>
      </c>
      <c r="D256" s="305"/>
      <c r="E256" s="305"/>
      <c r="F256" s="305"/>
      <c r="G256" s="305"/>
      <c r="H256" s="305"/>
      <c r="I256" s="305"/>
      <c r="J256" s="305"/>
      <c r="K256" s="305"/>
      <c r="L256" s="305"/>
      <c r="M256" s="305"/>
      <c r="N256" s="305"/>
      <c r="O256" s="305"/>
      <c r="P256" s="305"/>
      <c r="Q256" s="305"/>
      <c r="R256" s="305"/>
      <c r="S256" s="305"/>
      <c r="T256" s="305"/>
      <c r="U256" s="305"/>
      <c r="V256" s="305" t="e">
        <f t="shared" si="78"/>
        <v>#VALUE!</v>
      </c>
      <c r="W256" s="305" t="e">
        <f t="shared" si="79"/>
        <v>#VALUE!</v>
      </c>
      <c r="X256" s="305" t="e">
        <f t="shared" si="80"/>
        <v>#VALUE!</v>
      </c>
      <c r="Y256" s="305" t="e">
        <f t="shared" si="81"/>
        <v>#VALUE!</v>
      </c>
      <c r="Z256" s="305" t="e">
        <f t="shared" si="82"/>
        <v>#VALUE!</v>
      </c>
      <c r="AA256" s="305" t="e">
        <f>AA255</f>
        <v>#VALUE!</v>
      </c>
      <c r="AB256" s="308" t="e">
        <f>AB228/5</f>
        <v>#VALUE!</v>
      </c>
      <c r="AC256" s="305"/>
      <c r="AD256" s="305"/>
      <c r="AE256" s="305"/>
      <c r="AF256" s="305"/>
      <c r="AG256" s="305"/>
      <c r="AH256" s="310" t="e">
        <f t="shared" si="58"/>
        <v>#VALUE!</v>
      </c>
    </row>
    <row r="257" spans="1:34">
      <c r="C257" s="304">
        <f t="shared" si="59"/>
        <v>27</v>
      </c>
      <c r="D257" s="305"/>
      <c r="E257" s="305"/>
      <c r="F257" s="305"/>
      <c r="G257" s="305"/>
      <c r="H257" s="305"/>
      <c r="I257" s="305"/>
      <c r="J257" s="305"/>
      <c r="K257" s="305"/>
      <c r="L257" s="305"/>
      <c r="M257" s="305"/>
      <c r="N257" s="305"/>
      <c r="O257" s="305"/>
      <c r="P257" s="305"/>
      <c r="Q257" s="305"/>
      <c r="R257" s="305"/>
      <c r="S257" s="305"/>
      <c r="T257" s="305"/>
      <c r="U257" s="305"/>
      <c r="V257" s="305"/>
      <c r="W257" s="305" t="e">
        <f t="shared" si="79"/>
        <v>#VALUE!</v>
      </c>
      <c r="X257" s="305" t="e">
        <f t="shared" si="80"/>
        <v>#VALUE!</v>
      </c>
      <c r="Y257" s="305" t="e">
        <f t="shared" si="81"/>
        <v>#VALUE!</v>
      </c>
      <c r="Z257" s="305" t="e">
        <f t="shared" si="82"/>
        <v>#VALUE!</v>
      </c>
      <c r="AA257" s="305" t="e">
        <f>AA256</f>
        <v>#VALUE!</v>
      </c>
      <c r="AB257" s="305" t="e">
        <f>AB256</f>
        <v>#VALUE!</v>
      </c>
      <c r="AC257" s="308" t="e">
        <f>AC228/4</f>
        <v>#VALUE!</v>
      </c>
      <c r="AD257" s="305"/>
      <c r="AE257" s="305"/>
      <c r="AF257" s="305"/>
      <c r="AG257" s="305"/>
      <c r="AH257" s="310" t="e">
        <f t="shared" si="58"/>
        <v>#VALUE!</v>
      </c>
    </row>
    <row r="258" spans="1:34">
      <c r="C258" s="304">
        <f t="shared" si="59"/>
        <v>28</v>
      </c>
      <c r="D258" s="305"/>
      <c r="E258" s="305"/>
      <c r="F258" s="305"/>
      <c r="G258" s="305"/>
      <c r="H258" s="305"/>
      <c r="I258" s="305"/>
      <c r="J258" s="305"/>
      <c r="K258" s="305"/>
      <c r="L258" s="305"/>
      <c r="M258" s="305"/>
      <c r="N258" s="305"/>
      <c r="O258" s="305"/>
      <c r="P258" s="305"/>
      <c r="Q258" s="305"/>
      <c r="R258" s="305"/>
      <c r="S258" s="305"/>
      <c r="T258" s="305"/>
      <c r="U258" s="305"/>
      <c r="V258" s="305"/>
      <c r="W258" s="305"/>
      <c r="X258" s="305" t="e">
        <f t="shared" si="80"/>
        <v>#VALUE!</v>
      </c>
      <c r="Y258" s="305" t="e">
        <f t="shared" si="81"/>
        <v>#VALUE!</v>
      </c>
      <c r="Z258" s="305" t="e">
        <f t="shared" si="82"/>
        <v>#VALUE!</v>
      </c>
      <c r="AA258" s="305" t="e">
        <f>AA257</f>
        <v>#VALUE!</v>
      </c>
      <c r="AB258" s="305" t="e">
        <f>AB257</f>
        <v>#VALUE!</v>
      </c>
      <c r="AC258" s="305" t="e">
        <f>AC257</f>
        <v>#VALUE!</v>
      </c>
      <c r="AD258" s="308" t="e">
        <f>AD228/3</f>
        <v>#VALUE!</v>
      </c>
      <c r="AE258" s="305"/>
      <c r="AF258" s="305"/>
      <c r="AG258" s="305"/>
      <c r="AH258" s="310" t="e">
        <f t="shared" si="58"/>
        <v>#VALUE!</v>
      </c>
    </row>
    <row r="259" spans="1:34">
      <c r="C259" s="304">
        <f t="shared" si="59"/>
        <v>29</v>
      </c>
      <c r="D259" s="305"/>
      <c r="E259" s="305"/>
      <c r="F259" s="305"/>
      <c r="G259" s="305"/>
      <c r="H259" s="305"/>
      <c r="I259" s="305"/>
      <c r="J259" s="305"/>
      <c r="K259" s="305"/>
      <c r="L259" s="305"/>
      <c r="M259" s="305"/>
      <c r="N259" s="305"/>
      <c r="O259" s="305"/>
      <c r="P259" s="305"/>
      <c r="Q259" s="305"/>
      <c r="R259" s="305"/>
      <c r="S259" s="305"/>
      <c r="T259" s="305"/>
      <c r="U259" s="305"/>
      <c r="V259" s="305"/>
      <c r="W259" s="305"/>
      <c r="X259" s="305"/>
      <c r="Y259" s="305" t="e">
        <f t="shared" si="81"/>
        <v>#VALUE!</v>
      </c>
      <c r="Z259" s="305" t="e">
        <f t="shared" si="82"/>
        <v>#VALUE!</v>
      </c>
      <c r="AA259" s="305" t="e">
        <f>AA258</f>
        <v>#VALUE!</v>
      </c>
      <c r="AB259" s="305" t="e">
        <f>AB258</f>
        <v>#VALUE!</v>
      </c>
      <c r="AC259" s="305" t="e">
        <f>AC258</f>
        <v>#VALUE!</v>
      </c>
      <c r="AD259" s="305" t="e">
        <f>AD258</f>
        <v>#VALUE!</v>
      </c>
      <c r="AE259" s="308" t="e">
        <f>AE228/2</f>
        <v>#VALUE!</v>
      </c>
      <c r="AF259" s="305"/>
      <c r="AG259" s="305"/>
      <c r="AH259" s="310" t="e">
        <f t="shared" si="58"/>
        <v>#VALUE!</v>
      </c>
    </row>
    <row r="260" spans="1:34" ht="13.5" thickBot="1">
      <c r="C260" s="304">
        <f t="shared" si="59"/>
        <v>30</v>
      </c>
      <c r="D260" s="305"/>
      <c r="E260" s="305"/>
      <c r="F260" s="305"/>
      <c r="G260" s="305"/>
      <c r="H260" s="305"/>
      <c r="I260" s="305"/>
      <c r="J260" s="305"/>
      <c r="K260" s="305"/>
      <c r="L260" s="305"/>
      <c r="M260" s="305"/>
      <c r="N260" s="305"/>
      <c r="O260" s="305"/>
      <c r="P260" s="305"/>
      <c r="Q260" s="305"/>
      <c r="R260" s="305"/>
      <c r="S260" s="305"/>
      <c r="T260" s="305"/>
      <c r="U260" s="305"/>
      <c r="V260" s="305"/>
      <c r="W260" s="305"/>
      <c r="X260" s="305"/>
      <c r="Y260" s="305"/>
      <c r="Z260" s="305" t="e">
        <f t="shared" si="82"/>
        <v>#VALUE!</v>
      </c>
      <c r="AA260" s="305" t="e">
        <f>AA259</f>
        <v>#VALUE!</v>
      </c>
      <c r="AB260" s="305" t="e">
        <f>AB259</f>
        <v>#VALUE!</v>
      </c>
      <c r="AC260" s="305" t="e">
        <f>AC259</f>
        <v>#VALUE!</v>
      </c>
      <c r="AD260" s="305" t="e">
        <f>AD259</f>
        <v>#VALUE!</v>
      </c>
      <c r="AE260" s="305" t="e">
        <f>AE259</f>
        <v>#VALUE!</v>
      </c>
      <c r="AF260" s="308" t="e">
        <f>AF228</f>
        <v>#VALUE!</v>
      </c>
      <c r="AG260" s="308" t="e">
        <f>AG228</f>
        <v>#VALUE!</v>
      </c>
      <c r="AH260" s="310" t="e">
        <f t="shared" si="58"/>
        <v>#VALUE!</v>
      </c>
    </row>
    <row r="261" spans="1:34" ht="14.25" thickTop="1" thickBot="1">
      <c r="C261" s="311" t="s">
        <v>0</v>
      </c>
      <c r="D261" s="328" t="e">
        <f t="shared" ref="D261:AH261" si="83">SUM(D230:D260)</f>
        <v>#VALUE!</v>
      </c>
      <c r="E261" s="328" t="e">
        <f t="shared" si="83"/>
        <v>#VALUE!</v>
      </c>
      <c r="F261" s="328" t="e">
        <f t="shared" si="83"/>
        <v>#VALUE!</v>
      </c>
      <c r="G261" s="328" t="e">
        <f t="shared" si="83"/>
        <v>#VALUE!</v>
      </c>
      <c r="H261" s="328" t="e">
        <f t="shared" si="83"/>
        <v>#VALUE!</v>
      </c>
      <c r="I261" s="328" t="e">
        <f t="shared" si="83"/>
        <v>#VALUE!</v>
      </c>
      <c r="J261" s="328" t="e">
        <f t="shared" si="83"/>
        <v>#VALUE!</v>
      </c>
      <c r="K261" s="328" t="e">
        <f t="shared" si="83"/>
        <v>#VALUE!</v>
      </c>
      <c r="L261" s="328" t="e">
        <f t="shared" si="83"/>
        <v>#VALUE!</v>
      </c>
      <c r="M261" s="328" t="e">
        <f t="shared" si="83"/>
        <v>#VALUE!</v>
      </c>
      <c r="N261" s="328" t="e">
        <f t="shared" si="83"/>
        <v>#VALUE!</v>
      </c>
      <c r="O261" s="328" t="e">
        <f t="shared" si="83"/>
        <v>#VALUE!</v>
      </c>
      <c r="P261" s="328" t="e">
        <f t="shared" si="83"/>
        <v>#VALUE!</v>
      </c>
      <c r="Q261" s="328" t="e">
        <f t="shared" si="83"/>
        <v>#VALUE!</v>
      </c>
      <c r="R261" s="328" t="e">
        <f t="shared" si="83"/>
        <v>#VALUE!</v>
      </c>
      <c r="S261" s="328" t="e">
        <f t="shared" si="83"/>
        <v>#VALUE!</v>
      </c>
      <c r="T261" s="328" t="e">
        <f t="shared" si="83"/>
        <v>#VALUE!</v>
      </c>
      <c r="U261" s="328" t="e">
        <f t="shared" si="83"/>
        <v>#VALUE!</v>
      </c>
      <c r="V261" s="328" t="e">
        <f t="shared" si="83"/>
        <v>#VALUE!</v>
      </c>
      <c r="W261" s="328" t="e">
        <f t="shared" si="83"/>
        <v>#VALUE!</v>
      </c>
      <c r="X261" s="328" t="e">
        <f t="shared" si="83"/>
        <v>#VALUE!</v>
      </c>
      <c r="Y261" s="328" t="e">
        <f t="shared" si="83"/>
        <v>#VALUE!</v>
      </c>
      <c r="Z261" s="328" t="e">
        <f t="shared" si="83"/>
        <v>#VALUE!</v>
      </c>
      <c r="AA261" s="328" t="e">
        <f t="shared" si="83"/>
        <v>#VALUE!</v>
      </c>
      <c r="AB261" s="328" t="e">
        <f t="shared" si="83"/>
        <v>#VALUE!</v>
      </c>
      <c r="AC261" s="328" t="e">
        <f t="shared" si="83"/>
        <v>#VALUE!</v>
      </c>
      <c r="AD261" s="328" t="e">
        <f t="shared" si="83"/>
        <v>#VALUE!</v>
      </c>
      <c r="AE261" s="328" t="e">
        <f t="shared" si="83"/>
        <v>#VALUE!</v>
      </c>
      <c r="AF261" s="329" t="e">
        <f t="shared" si="83"/>
        <v>#VALUE!</v>
      </c>
      <c r="AG261" s="328" t="e">
        <f t="shared" si="83"/>
        <v>#VALUE!</v>
      </c>
      <c r="AH261" s="315" t="e">
        <f t="shared" si="83"/>
        <v>#VALUE!</v>
      </c>
    </row>
    <row r="264" spans="1:34" ht="13.5" thickBot="1">
      <c r="C264" s="291"/>
      <c r="D264" s="291"/>
      <c r="E264" s="291"/>
      <c r="F264" s="291"/>
      <c r="G264" s="291"/>
      <c r="H264" s="291"/>
      <c r="I264" s="291"/>
      <c r="J264" s="291"/>
      <c r="K264" s="291"/>
      <c r="L264" s="291"/>
      <c r="M264" s="291"/>
      <c r="N264" s="291"/>
      <c r="O264" s="291"/>
      <c r="P264" s="291"/>
      <c r="Q264" s="291"/>
      <c r="R264" s="291"/>
      <c r="S264" s="291"/>
      <c r="T264" s="291"/>
      <c r="U264" s="291"/>
      <c r="V264" s="291"/>
      <c r="W264" s="291"/>
      <c r="X264" s="291"/>
      <c r="Y264" s="291"/>
      <c r="Z264" s="291"/>
      <c r="AA264" s="291"/>
      <c r="AB264" s="291"/>
      <c r="AC264" s="291"/>
      <c r="AD264" s="291"/>
      <c r="AE264" s="291"/>
      <c r="AF264" s="291"/>
      <c r="AG264" s="291"/>
      <c r="AH264" s="291"/>
    </row>
    <row r="265" spans="1:34">
      <c r="A265" s="292">
        <v>6</v>
      </c>
      <c r="B265" s="13" t="e">
        <v>#VALUE!</v>
      </c>
      <c r="C265" s="293" t="s">
        <v>257</v>
      </c>
      <c r="D265" s="337"/>
      <c r="E265" s="295">
        <v>5</v>
      </c>
      <c r="F265" s="294"/>
      <c r="G265" s="294"/>
      <c r="H265" s="294"/>
      <c r="I265" s="294"/>
      <c r="J265" s="294"/>
      <c r="K265" s="294"/>
      <c r="L265" s="294"/>
      <c r="M265" s="294"/>
      <c r="N265" s="294"/>
      <c r="O265" s="294"/>
      <c r="P265" s="294"/>
      <c r="Q265" s="294"/>
      <c r="R265" s="294"/>
      <c r="S265" s="294"/>
      <c r="T265" s="294"/>
      <c r="U265" s="294"/>
      <c r="V265" s="294"/>
      <c r="W265" s="294"/>
      <c r="X265" s="294"/>
      <c r="Y265" s="294"/>
      <c r="Z265" s="294"/>
      <c r="AA265" s="294"/>
      <c r="AB265" s="294"/>
      <c r="AC265" s="294"/>
      <c r="AD265" s="294"/>
      <c r="AE265" s="294"/>
      <c r="AF265" s="294"/>
      <c r="AG265" s="294"/>
      <c r="AH265" s="296"/>
    </row>
    <row r="266" spans="1:34">
      <c r="A266" s="297">
        <v>210</v>
      </c>
      <c r="B266" s="15" t="e">
        <f>AH266</f>
        <v>#VALUE!</v>
      </c>
      <c r="C266" s="298" t="s">
        <v>256</v>
      </c>
      <c r="D266" s="299" t="e">
        <v>#VALUE!</v>
      </c>
      <c r="E266" s="299" t="e">
        <v>#VALUE!</v>
      </c>
      <c r="F266" s="299" t="e">
        <v>#VALUE!</v>
      </c>
      <c r="G266" s="299" t="e">
        <v>#VALUE!</v>
      </c>
      <c r="H266" s="299" t="e">
        <v>#VALUE!</v>
      </c>
      <c r="I266" s="299" t="e">
        <v>#VALUE!</v>
      </c>
      <c r="J266" s="299" t="e">
        <v>#VALUE!</v>
      </c>
      <c r="K266" s="299" t="e">
        <v>#VALUE!</v>
      </c>
      <c r="L266" s="299" t="e">
        <v>#VALUE!</v>
      </c>
      <c r="M266" s="299" t="e">
        <v>#VALUE!</v>
      </c>
      <c r="N266" s="299" t="e">
        <v>#VALUE!</v>
      </c>
      <c r="O266" s="299" t="e">
        <v>#VALUE!</v>
      </c>
      <c r="P266" s="299" t="e">
        <v>#VALUE!</v>
      </c>
      <c r="Q266" s="299" t="e">
        <v>#VALUE!</v>
      </c>
      <c r="R266" s="299" t="e">
        <v>#VALUE!</v>
      </c>
      <c r="S266" s="299" t="e">
        <v>#VALUE!</v>
      </c>
      <c r="T266" s="299" t="e">
        <v>#VALUE!</v>
      </c>
      <c r="U266" s="299" t="e">
        <v>#VALUE!</v>
      </c>
      <c r="V266" s="299" t="e">
        <v>#VALUE!</v>
      </c>
      <c r="W266" s="299" t="e">
        <v>#VALUE!</v>
      </c>
      <c r="X266" s="299" t="e">
        <v>#VALUE!</v>
      </c>
      <c r="Y266" s="299" t="e">
        <v>#VALUE!</v>
      </c>
      <c r="Z266" s="299" t="e">
        <v>#VALUE!</v>
      </c>
      <c r="AA266" s="299" t="e">
        <v>#VALUE!</v>
      </c>
      <c r="AB266" s="299" t="e">
        <v>#VALUE!</v>
      </c>
      <c r="AC266" s="299" t="e">
        <v>#VALUE!</v>
      </c>
      <c r="AD266" s="299" t="e">
        <v>#VALUE!</v>
      </c>
      <c r="AE266" s="299" t="e">
        <v>#VALUE!</v>
      </c>
      <c r="AF266" s="299" t="e">
        <v>#VALUE!</v>
      </c>
      <c r="AG266" s="299" t="e">
        <v>#VALUE!</v>
      </c>
      <c r="AH266" s="300" t="e">
        <f>SUM(D266:AG266)</f>
        <v>#VALUE!</v>
      </c>
    </row>
    <row r="267" spans="1:34">
      <c r="C267" s="301" t="s">
        <v>1</v>
      </c>
      <c r="D267" s="302">
        <v>1</v>
      </c>
      <c r="E267" s="302">
        <f t="shared" ref="E267:AG267" si="84">D267+1</f>
        <v>2</v>
      </c>
      <c r="F267" s="302">
        <f t="shared" si="84"/>
        <v>3</v>
      </c>
      <c r="G267" s="302">
        <f t="shared" si="84"/>
        <v>4</v>
      </c>
      <c r="H267" s="302">
        <f t="shared" si="84"/>
        <v>5</v>
      </c>
      <c r="I267" s="302">
        <f t="shared" si="84"/>
        <v>6</v>
      </c>
      <c r="J267" s="302">
        <f t="shared" si="84"/>
        <v>7</v>
      </c>
      <c r="K267" s="302">
        <f t="shared" si="84"/>
        <v>8</v>
      </c>
      <c r="L267" s="302">
        <f t="shared" si="84"/>
        <v>9</v>
      </c>
      <c r="M267" s="302">
        <f t="shared" si="84"/>
        <v>10</v>
      </c>
      <c r="N267" s="302">
        <f t="shared" si="84"/>
        <v>11</v>
      </c>
      <c r="O267" s="302">
        <f t="shared" si="84"/>
        <v>12</v>
      </c>
      <c r="P267" s="302">
        <f t="shared" si="84"/>
        <v>13</v>
      </c>
      <c r="Q267" s="302">
        <f t="shared" si="84"/>
        <v>14</v>
      </c>
      <c r="R267" s="302">
        <f t="shared" si="84"/>
        <v>15</v>
      </c>
      <c r="S267" s="302">
        <f t="shared" si="84"/>
        <v>16</v>
      </c>
      <c r="T267" s="302">
        <f t="shared" si="84"/>
        <v>17</v>
      </c>
      <c r="U267" s="302">
        <f t="shared" si="84"/>
        <v>18</v>
      </c>
      <c r="V267" s="302">
        <f t="shared" si="84"/>
        <v>19</v>
      </c>
      <c r="W267" s="302">
        <f t="shared" si="84"/>
        <v>20</v>
      </c>
      <c r="X267" s="302">
        <f t="shared" si="84"/>
        <v>21</v>
      </c>
      <c r="Y267" s="302">
        <f t="shared" si="84"/>
        <v>22</v>
      </c>
      <c r="Z267" s="302">
        <f t="shared" si="84"/>
        <v>23</v>
      </c>
      <c r="AA267" s="302">
        <f t="shared" si="84"/>
        <v>24</v>
      </c>
      <c r="AB267" s="302">
        <f t="shared" si="84"/>
        <v>25</v>
      </c>
      <c r="AC267" s="302">
        <f t="shared" si="84"/>
        <v>26</v>
      </c>
      <c r="AD267" s="302">
        <f t="shared" si="84"/>
        <v>27</v>
      </c>
      <c r="AE267" s="302">
        <f t="shared" si="84"/>
        <v>28</v>
      </c>
      <c r="AF267" s="302">
        <f t="shared" si="84"/>
        <v>29</v>
      </c>
      <c r="AG267" s="302">
        <f t="shared" si="84"/>
        <v>30</v>
      </c>
      <c r="AH267" s="303" t="s">
        <v>0</v>
      </c>
    </row>
    <row r="268" spans="1:34">
      <c r="C268" s="304">
        <v>0</v>
      </c>
      <c r="D268" s="305"/>
      <c r="E268" s="305"/>
      <c r="F268" s="305"/>
      <c r="G268" s="305"/>
      <c r="H268" s="305"/>
      <c r="I268" s="305"/>
      <c r="J268" s="305"/>
      <c r="K268" s="305"/>
      <c r="L268" s="305"/>
      <c r="M268" s="319"/>
      <c r="N268" s="332"/>
      <c r="O268" s="305"/>
      <c r="P268" s="305"/>
      <c r="Q268" s="305"/>
      <c r="R268" s="305"/>
      <c r="S268" s="305"/>
      <c r="T268" s="305"/>
      <c r="U268" s="305"/>
      <c r="V268" s="305"/>
      <c r="W268" s="305"/>
      <c r="X268" s="305"/>
      <c r="Y268" s="305"/>
      <c r="Z268" s="305"/>
      <c r="AA268" s="305"/>
      <c r="AB268" s="305"/>
      <c r="AC268" s="305"/>
      <c r="AD268" s="305"/>
      <c r="AE268" s="305"/>
      <c r="AF268" s="305"/>
      <c r="AG268" s="305"/>
      <c r="AH268" s="306">
        <f t="shared" ref="AH268:AH298" si="85">SUM(D268:AG268)</f>
        <v>0</v>
      </c>
    </row>
    <row r="269" spans="1:34">
      <c r="C269" s="307">
        <f t="shared" ref="C269:C298" si="86">1+C268</f>
        <v>1</v>
      </c>
      <c r="D269" s="305"/>
      <c r="E269" s="305"/>
      <c r="F269" s="305"/>
      <c r="G269" s="305"/>
      <c r="H269" s="305"/>
      <c r="I269" s="305"/>
      <c r="J269" s="305"/>
      <c r="K269" s="305"/>
      <c r="L269" s="305"/>
      <c r="M269" s="309"/>
      <c r="N269" s="332"/>
      <c r="O269" s="305"/>
      <c r="P269" s="305"/>
      <c r="Q269" s="305"/>
      <c r="R269" s="305"/>
      <c r="S269" s="305"/>
      <c r="T269" s="305"/>
      <c r="U269" s="305"/>
      <c r="V269" s="305"/>
      <c r="W269" s="305"/>
      <c r="X269" s="305"/>
      <c r="Y269" s="305"/>
      <c r="Z269" s="305"/>
      <c r="AA269" s="305"/>
      <c r="AB269" s="305"/>
      <c r="AC269" s="305"/>
      <c r="AD269" s="305"/>
      <c r="AE269" s="305"/>
      <c r="AF269" s="305"/>
      <c r="AG269" s="305"/>
      <c r="AH269" s="310">
        <f t="shared" si="85"/>
        <v>0</v>
      </c>
    </row>
    <row r="270" spans="1:34">
      <c r="C270" s="307">
        <f t="shared" si="86"/>
        <v>2</v>
      </c>
      <c r="D270" s="308" t="e">
        <f>D$266/5</f>
        <v>#VALUE!</v>
      </c>
      <c r="E270" s="305"/>
      <c r="F270" s="305"/>
      <c r="G270" s="305"/>
      <c r="H270" s="305"/>
      <c r="I270" s="305"/>
      <c r="J270" s="305"/>
      <c r="K270" s="305"/>
      <c r="L270" s="305"/>
      <c r="M270" s="309"/>
      <c r="N270" s="332"/>
      <c r="O270" s="305"/>
      <c r="P270" s="305"/>
      <c r="Q270" s="305"/>
      <c r="R270" s="305"/>
      <c r="S270" s="305"/>
      <c r="T270" s="305"/>
      <c r="U270" s="305"/>
      <c r="V270" s="305"/>
      <c r="W270" s="305"/>
      <c r="X270" s="305"/>
      <c r="Y270" s="305"/>
      <c r="Z270" s="305"/>
      <c r="AA270" s="305"/>
      <c r="AB270" s="305"/>
      <c r="AC270" s="305"/>
      <c r="AD270" s="305"/>
      <c r="AE270" s="305"/>
      <c r="AF270" s="305"/>
      <c r="AG270" s="305"/>
      <c r="AH270" s="310" t="e">
        <f t="shared" si="85"/>
        <v>#VALUE!</v>
      </c>
    </row>
    <row r="271" spans="1:34">
      <c r="C271" s="307">
        <f t="shared" si="86"/>
        <v>3</v>
      </c>
      <c r="D271" s="305" t="e">
        <f>D270</f>
        <v>#VALUE!</v>
      </c>
      <c r="E271" s="308" t="e">
        <f>E$266/5</f>
        <v>#VALUE!</v>
      </c>
      <c r="F271" s="305"/>
      <c r="G271" s="305"/>
      <c r="H271" s="305"/>
      <c r="I271" s="305"/>
      <c r="J271" s="305"/>
      <c r="K271" s="305"/>
      <c r="L271" s="305"/>
      <c r="M271" s="309"/>
      <c r="N271" s="332"/>
      <c r="O271" s="305"/>
      <c r="P271" s="305"/>
      <c r="Q271" s="305"/>
      <c r="R271" s="305"/>
      <c r="S271" s="305"/>
      <c r="T271" s="305"/>
      <c r="U271" s="305"/>
      <c r="V271" s="305"/>
      <c r="W271" s="305"/>
      <c r="X271" s="305"/>
      <c r="Y271" s="305"/>
      <c r="Z271" s="305"/>
      <c r="AA271" s="305"/>
      <c r="AB271" s="305"/>
      <c r="AC271" s="305"/>
      <c r="AD271" s="305"/>
      <c r="AE271" s="305"/>
      <c r="AF271" s="305"/>
      <c r="AG271" s="305"/>
      <c r="AH271" s="310" t="e">
        <f t="shared" si="85"/>
        <v>#VALUE!</v>
      </c>
    </row>
    <row r="272" spans="1:34">
      <c r="C272" s="307">
        <f t="shared" si="86"/>
        <v>4</v>
      </c>
      <c r="D272" s="305" t="e">
        <f>D271</f>
        <v>#VALUE!</v>
      </c>
      <c r="E272" s="305" t="e">
        <f>E271</f>
        <v>#VALUE!</v>
      </c>
      <c r="F272" s="308" t="e">
        <f>F$266/5</f>
        <v>#VALUE!</v>
      </c>
      <c r="G272" s="305"/>
      <c r="H272" s="305"/>
      <c r="I272" s="305"/>
      <c r="J272" s="305"/>
      <c r="K272" s="305"/>
      <c r="L272" s="305"/>
      <c r="M272" s="309"/>
      <c r="N272" s="332"/>
      <c r="O272" s="305"/>
      <c r="P272" s="305"/>
      <c r="Q272" s="305"/>
      <c r="R272" s="305"/>
      <c r="S272" s="305"/>
      <c r="T272" s="305"/>
      <c r="U272" s="305"/>
      <c r="V272" s="305"/>
      <c r="W272" s="305"/>
      <c r="X272" s="305"/>
      <c r="Y272" s="305"/>
      <c r="Z272" s="305"/>
      <c r="AA272" s="305"/>
      <c r="AB272" s="305"/>
      <c r="AC272" s="305"/>
      <c r="AD272" s="305"/>
      <c r="AE272" s="305"/>
      <c r="AF272" s="305"/>
      <c r="AG272" s="305"/>
      <c r="AH272" s="310" t="e">
        <f t="shared" si="85"/>
        <v>#VALUE!</v>
      </c>
    </row>
    <row r="273" spans="3:34">
      <c r="C273" s="307">
        <f t="shared" si="86"/>
        <v>5</v>
      </c>
      <c r="D273" s="305" t="e">
        <f>D272</f>
        <v>#VALUE!</v>
      </c>
      <c r="E273" s="305" t="e">
        <f>E272</f>
        <v>#VALUE!</v>
      </c>
      <c r="F273" s="305" t="e">
        <f>F272</f>
        <v>#VALUE!</v>
      </c>
      <c r="G273" s="308" t="e">
        <f>G$266/5</f>
        <v>#VALUE!</v>
      </c>
      <c r="H273" s="305"/>
      <c r="I273" s="305"/>
      <c r="J273" s="305"/>
      <c r="K273" s="305"/>
      <c r="L273" s="305"/>
      <c r="M273" s="309"/>
      <c r="N273" s="332"/>
      <c r="O273" s="305"/>
      <c r="P273" s="305"/>
      <c r="Q273" s="305"/>
      <c r="R273" s="305"/>
      <c r="S273" s="305"/>
      <c r="T273" s="305"/>
      <c r="U273" s="305"/>
      <c r="V273" s="305"/>
      <c r="W273" s="305"/>
      <c r="X273" s="305"/>
      <c r="Y273" s="305"/>
      <c r="Z273" s="305"/>
      <c r="AA273" s="305"/>
      <c r="AB273" s="305"/>
      <c r="AC273" s="305"/>
      <c r="AD273" s="305"/>
      <c r="AE273" s="305"/>
      <c r="AF273" s="305"/>
      <c r="AG273" s="305"/>
      <c r="AH273" s="310" t="e">
        <f t="shared" si="85"/>
        <v>#VALUE!</v>
      </c>
    </row>
    <row r="274" spans="3:34">
      <c r="C274" s="307">
        <f t="shared" si="86"/>
        <v>6</v>
      </c>
      <c r="D274" s="305" t="e">
        <f>D273</f>
        <v>#VALUE!</v>
      </c>
      <c r="E274" s="305" t="e">
        <f>E273</f>
        <v>#VALUE!</v>
      </c>
      <c r="F274" s="305" t="e">
        <f>F273</f>
        <v>#VALUE!</v>
      </c>
      <c r="G274" s="305" t="e">
        <f>G273</f>
        <v>#VALUE!</v>
      </c>
      <c r="H274" s="308" t="e">
        <f>H$266/5</f>
        <v>#VALUE!</v>
      </c>
      <c r="I274" s="305"/>
      <c r="J274" s="305"/>
      <c r="K274" s="305"/>
      <c r="L274" s="305"/>
      <c r="M274" s="309"/>
      <c r="N274" s="332"/>
      <c r="O274" s="305"/>
      <c r="P274" s="305"/>
      <c r="Q274" s="305"/>
      <c r="R274" s="305"/>
      <c r="S274" s="305"/>
      <c r="T274" s="305"/>
      <c r="U274" s="305"/>
      <c r="V274" s="305"/>
      <c r="W274" s="305"/>
      <c r="X274" s="305"/>
      <c r="Y274" s="305"/>
      <c r="Z274" s="305"/>
      <c r="AA274" s="305"/>
      <c r="AB274" s="305"/>
      <c r="AC274" s="305"/>
      <c r="AD274" s="305"/>
      <c r="AE274" s="305"/>
      <c r="AF274" s="305"/>
      <c r="AG274" s="305"/>
      <c r="AH274" s="310" t="e">
        <f t="shared" si="85"/>
        <v>#VALUE!</v>
      </c>
    </row>
    <row r="275" spans="3:34">
      <c r="C275" s="307">
        <f t="shared" si="86"/>
        <v>7</v>
      </c>
      <c r="D275" s="305"/>
      <c r="E275" s="305" t="e">
        <f>E274</f>
        <v>#VALUE!</v>
      </c>
      <c r="F275" s="305" t="e">
        <f>F274</f>
        <v>#VALUE!</v>
      </c>
      <c r="G275" s="305" t="e">
        <f>G274</f>
        <v>#VALUE!</v>
      </c>
      <c r="H275" s="305" t="e">
        <f>H274</f>
        <v>#VALUE!</v>
      </c>
      <c r="I275" s="308" t="e">
        <f>I$266/5</f>
        <v>#VALUE!</v>
      </c>
      <c r="J275" s="325"/>
      <c r="K275" s="305"/>
      <c r="L275" s="305"/>
      <c r="M275" s="309"/>
      <c r="N275" s="332"/>
      <c r="O275" s="305"/>
      <c r="P275" s="305"/>
      <c r="Q275" s="305"/>
      <c r="R275" s="305"/>
      <c r="S275" s="305"/>
      <c r="T275" s="305"/>
      <c r="U275" s="305"/>
      <c r="V275" s="305"/>
      <c r="W275" s="305"/>
      <c r="X275" s="305"/>
      <c r="Y275" s="305"/>
      <c r="Z275" s="305"/>
      <c r="AA275" s="305"/>
      <c r="AB275" s="305"/>
      <c r="AC275" s="305"/>
      <c r="AD275" s="305"/>
      <c r="AE275" s="305"/>
      <c r="AF275" s="305"/>
      <c r="AG275" s="305"/>
      <c r="AH275" s="310" t="e">
        <f t="shared" si="85"/>
        <v>#VALUE!</v>
      </c>
    </row>
    <row r="276" spans="3:34">
      <c r="C276" s="307">
        <f t="shared" si="86"/>
        <v>8</v>
      </c>
      <c r="D276" s="305"/>
      <c r="E276" s="305"/>
      <c r="F276" s="305" t="e">
        <f>F275</f>
        <v>#VALUE!</v>
      </c>
      <c r="G276" s="305" t="e">
        <f>G275</f>
        <v>#VALUE!</v>
      </c>
      <c r="H276" s="305" t="e">
        <f>H275</f>
        <v>#VALUE!</v>
      </c>
      <c r="I276" s="305" t="e">
        <f>I275</f>
        <v>#VALUE!</v>
      </c>
      <c r="J276" s="308" t="e">
        <f>J$266/5</f>
        <v>#VALUE!</v>
      </c>
      <c r="K276" s="305"/>
      <c r="L276" s="305"/>
      <c r="M276" s="309"/>
      <c r="N276" s="332"/>
      <c r="O276" s="305"/>
      <c r="P276" s="305"/>
      <c r="Q276" s="305"/>
      <c r="R276" s="305"/>
      <c r="S276" s="305"/>
      <c r="T276" s="305"/>
      <c r="U276" s="305"/>
      <c r="V276" s="305"/>
      <c r="W276" s="305"/>
      <c r="X276" s="305"/>
      <c r="Y276" s="305"/>
      <c r="Z276" s="305"/>
      <c r="AA276" s="305"/>
      <c r="AB276" s="305"/>
      <c r="AC276" s="305"/>
      <c r="AD276" s="305"/>
      <c r="AE276" s="305"/>
      <c r="AF276" s="305"/>
      <c r="AG276" s="305"/>
      <c r="AH276" s="310" t="e">
        <f t="shared" si="85"/>
        <v>#VALUE!</v>
      </c>
    </row>
    <row r="277" spans="3:34">
      <c r="C277" s="307">
        <f t="shared" si="86"/>
        <v>9</v>
      </c>
      <c r="D277" s="305"/>
      <c r="E277" s="305"/>
      <c r="F277" s="305"/>
      <c r="G277" s="305" t="e">
        <f>G276</f>
        <v>#VALUE!</v>
      </c>
      <c r="H277" s="305" t="e">
        <f>H276</f>
        <v>#VALUE!</v>
      </c>
      <c r="I277" s="305" t="e">
        <f>I276</f>
        <v>#VALUE!</v>
      </c>
      <c r="J277" s="305" t="e">
        <f>J276</f>
        <v>#VALUE!</v>
      </c>
      <c r="K277" s="308" t="e">
        <f>K$266/5</f>
        <v>#VALUE!</v>
      </c>
      <c r="L277" s="305"/>
      <c r="M277" s="309"/>
      <c r="N277" s="332"/>
      <c r="O277" s="305"/>
      <c r="P277" s="305"/>
      <c r="Q277" s="305"/>
      <c r="R277" s="305"/>
      <c r="S277" s="305"/>
      <c r="T277" s="305"/>
      <c r="U277" s="305"/>
      <c r="V277" s="305"/>
      <c r="W277" s="305"/>
      <c r="X277" s="305"/>
      <c r="Y277" s="305"/>
      <c r="Z277" s="305"/>
      <c r="AA277" s="305"/>
      <c r="AB277" s="305"/>
      <c r="AC277" s="305"/>
      <c r="AD277" s="305"/>
      <c r="AE277" s="305"/>
      <c r="AF277" s="305"/>
      <c r="AG277" s="305"/>
      <c r="AH277" s="310" t="e">
        <f t="shared" si="85"/>
        <v>#VALUE!</v>
      </c>
    </row>
    <row r="278" spans="3:34">
      <c r="C278" s="307">
        <f t="shared" si="86"/>
        <v>10</v>
      </c>
      <c r="D278" s="305"/>
      <c r="E278" s="305"/>
      <c r="F278" s="305"/>
      <c r="G278" s="305"/>
      <c r="H278" s="305" t="e">
        <f>H277</f>
        <v>#VALUE!</v>
      </c>
      <c r="I278" s="305" t="e">
        <f>I277</f>
        <v>#VALUE!</v>
      </c>
      <c r="J278" s="305" t="e">
        <f>J277</f>
        <v>#VALUE!</v>
      </c>
      <c r="K278" s="305" t="e">
        <f>K277</f>
        <v>#VALUE!</v>
      </c>
      <c r="L278" s="308" t="e">
        <f>L$266/5</f>
        <v>#VALUE!</v>
      </c>
      <c r="M278" s="309"/>
      <c r="N278" s="332"/>
      <c r="O278" s="305"/>
      <c r="P278" s="305"/>
      <c r="Q278" s="305"/>
      <c r="R278" s="305"/>
      <c r="S278" s="305"/>
      <c r="T278" s="305"/>
      <c r="U278" s="305"/>
      <c r="V278" s="305"/>
      <c r="W278" s="305"/>
      <c r="X278" s="305"/>
      <c r="Y278" s="305"/>
      <c r="Z278" s="305"/>
      <c r="AA278" s="305"/>
      <c r="AB278" s="305"/>
      <c r="AC278" s="305"/>
      <c r="AD278" s="305"/>
      <c r="AE278" s="305"/>
      <c r="AF278" s="305"/>
      <c r="AG278" s="305"/>
      <c r="AH278" s="310" t="e">
        <f t="shared" si="85"/>
        <v>#VALUE!</v>
      </c>
    </row>
    <row r="279" spans="3:34">
      <c r="C279" s="307">
        <f t="shared" si="86"/>
        <v>11</v>
      </c>
      <c r="D279" s="305"/>
      <c r="E279" s="305"/>
      <c r="F279" s="305"/>
      <c r="G279" s="305"/>
      <c r="H279" s="305"/>
      <c r="I279" s="305" t="e">
        <f>I278</f>
        <v>#VALUE!</v>
      </c>
      <c r="J279" s="305" t="e">
        <f>J278</f>
        <v>#VALUE!</v>
      </c>
      <c r="K279" s="305" t="e">
        <f>K278</f>
        <v>#VALUE!</v>
      </c>
      <c r="L279" s="305" t="e">
        <f>L278</f>
        <v>#VALUE!</v>
      </c>
      <c r="M279" s="308" t="e">
        <f>M$266/5</f>
        <v>#VALUE!</v>
      </c>
      <c r="N279" s="332"/>
      <c r="O279" s="305"/>
      <c r="P279" s="305"/>
      <c r="Q279" s="305"/>
      <c r="R279" s="305"/>
      <c r="S279" s="305"/>
      <c r="T279" s="305"/>
      <c r="U279" s="305"/>
      <c r="V279" s="305"/>
      <c r="W279" s="305"/>
      <c r="X279" s="305"/>
      <c r="Y279" s="305"/>
      <c r="Z279" s="305"/>
      <c r="AA279" s="305"/>
      <c r="AB279" s="305"/>
      <c r="AC279" s="305"/>
      <c r="AD279" s="305"/>
      <c r="AE279" s="305"/>
      <c r="AF279" s="305"/>
      <c r="AG279" s="305"/>
      <c r="AH279" s="310" t="e">
        <f t="shared" si="85"/>
        <v>#VALUE!</v>
      </c>
    </row>
    <row r="280" spans="3:34">
      <c r="C280" s="307">
        <f t="shared" si="86"/>
        <v>12</v>
      </c>
      <c r="D280" s="305"/>
      <c r="E280" s="305"/>
      <c r="F280" s="305"/>
      <c r="G280" s="305"/>
      <c r="H280" s="305"/>
      <c r="I280" s="305"/>
      <c r="J280" s="305" t="e">
        <f>J279</f>
        <v>#VALUE!</v>
      </c>
      <c r="K280" s="305" t="e">
        <f>K279</f>
        <v>#VALUE!</v>
      </c>
      <c r="L280" s="305" t="e">
        <f>L279</f>
        <v>#VALUE!</v>
      </c>
      <c r="M280" s="309" t="e">
        <f>M279</f>
        <v>#VALUE!</v>
      </c>
      <c r="N280" s="308" t="e">
        <f>N$266/5</f>
        <v>#VALUE!</v>
      </c>
      <c r="O280" s="305"/>
      <c r="P280" s="325"/>
      <c r="Q280" s="305"/>
      <c r="R280" s="305"/>
      <c r="S280" s="305"/>
      <c r="T280" s="305"/>
      <c r="U280" s="305"/>
      <c r="V280" s="305"/>
      <c r="W280" s="305"/>
      <c r="X280" s="305"/>
      <c r="Y280" s="305"/>
      <c r="Z280" s="305"/>
      <c r="AA280" s="305"/>
      <c r="AB280" s="305"/>
      <c r="AC280" s="305"/>
      <c r="AD280" s="305"/>
      <c r="AE280" s="305"/>
      <c r="AF280" s="305"/>
      <c r="AG280" s="305"/>
      <c r="AH280" s="310" t="e">
        <f t="shared" si="85"/>
        <v>#VALUE!</v>
      </c>
    </row>
    <row r="281" spans="3:34">
      <c r="C281" s="307">
        <f t="shared" si="86"/>
        <v>13</v>
      </c>
      <c r="D281" s="305"/>
      <c r="E281" s="305"/>
      <c r="F281" s="305"/>
      <c r="G281" s="305"/>
      <c r="H281" s="305"/>
      <c r="I281" s="305"/>
      <c r="J281" s="325"/>
      <c r="K281" s="305" t="e">
        <f>K280</f>
        <v>#VALUE!</v>
      </c>
      <c r="L281" s="305" t="e">
        <f>L280</f>
        <v>#VALUE!</v>
      </c>
      <c r="M281" s="309" t="e">
        <f>M280</f>
        <v>#VALUE!</v>
      </c>
      <c r="N281" s="332" t="e">
        <f>N280</f>
        <v>#VALUE!</v>
      </c>
      <c r="O281" s="308" t="e">
        <f>O$266/5</f>
        <v>#VALUE!</v>
      </c>
      <c r="P281" s="305"/>
      <c r="Q281" s="305"/>
      <c r="R281" s="305"/>
      <c r="S281" s="305"/>
      <c r="T281" s="305"/>
      <c r="U281" s="305"/>
      <c r="V281" s="305"/>
      <c r="W281" s="305"/>
      <c r="X281" s="305"/>
      <c r="Y281" s="305"/>
      <c r="Z281" s="305"/>
      <c r="AA281" s="305"/>
      <c r="AB281" s="305"/>
      <c r="AC281" s="305"/>
      <c r="AD281" s="305"/>
      <c r="AE281" s="305"/>
      <c r="AF281" s="305"/>
      <c r="AG281" s="305"/>
      <c r="AH281" s="310" t="e">
        <f t="shared" si="85"/>
        <v>#VALUE!</v>
      </c>
    </row>
    <row r="282" spans="3:34">
      <c r="C282" s="307">
        <f t="shared" si="86"/>
        <v>14</v>
      </c>
      <c r="D282" s="305"/>
      <c r="E282" s="305"/>
      <c r="F282" s="305"/>
      <c r="G282" s="305"/>
      <c r="H282" s="305"/>
      <c r="I282" s="305"/>
      <c r="J282" s="325"/>
      <c r="K282" s="305"/>
      <c r="L282" s="305" t="e">
        <f>L281</f>
        <v>#VALUE!</v>
      </c>
      <c r="M282" s="309" t="e">
        <f>M281</f>
        <v>#VALUE!</v>
      </c>
      <c r="N282" s="332" t="e">
        <f>N281</f>
        <v>#VALUE!</v>
      </c>
      <c r="O282" s="305" t="e">
        <f>O281</f>
        <v>#VALUE!</v>
      </c>
      <c r="P282" s="308" t="e">
        <f>P$266/5</f>
        <v>#VALUE!</v>
      </c>
      <c r="Q282" s="305"/>
      <c r="R282" s="305"/>
      <c r="S282" s="305"/>
      <c r="T282" s="305"/>
      <c r="U282" s="305"/>
      <c r="V282" s="305"/>
      <c r="W282" s="305"/>
      <c r="X282" s="305"/>
      <c r="Y282" s="305"/>
      <c r="Z282" s="305"/>
      <c r="AA282" s="305"/>
      <c r="AB282" s="305"/>
      <c r="AC282" s="305"/>
      <c r="AD282" s="305"/>
      <c r="AE282" s="305"/>
      <c r="AF282" s="305"/>
      <c r="AG282" s="305"/>
      <c r="AH282" s="310" t="e">
        <f t="shared" si="85"/>
        <v>#VALUE!</v>
      </c>
    </row>
    <row r="283" spans="3:34">
      <c r="C283" s="307">
        <f t="shared" si="86"/>
        <v>15</v>
      </c>
      <c r="D283" s="305"/>
      <c r="E283" s="305"/>
      <c r="F283" s="305"/>
      <c r="G283" s="305"/>
      <c r="H283" s="305"/>
      <c r="I283" s="305"/>
      <c r="J283" s="325"/>
      <c r="K283" s="305"/>
      <c r="L283" s="305"/>
      <c r="M283" s="309" t="e">
        <f>M282</f>
        <v>#VALUE!</v>
      </c>
      <c r="N283" s="332" t="e">
        <f>N282</f>
        <v>#VALUE!</v>
      </c>
      <c r="O283" s="305" t="e">
        <f>O282</f>
        <v>#VALUE!</v>
      </c>
      <c r="P283" s="305" t="e">
        <f>P282</f>
        <v>#VALUE!</v>
      </c>
      <c r="Q283" s="308" t="e">
        <f>Q$266/5</f>
        <v>#VALUE!</v>
      </c>
      <c r="R283" s="305"/>
      <c r="S283" s="305"/>
      <c r="T283" s="305"/>
      <c r="U283" s="305"/>
      <c r="V283" s="305"/>
      <c r="W283" s="305"/>
      <c r="X283" s="305"/>
      <c r="Y283" s="305"/>
      <c r="Z283" s="305"/>
      <c r="AA283" s="305"/>
      <c r="AB283" s="305"/>
      <c r="AC283" s="305"/>
      <c r="AD283" s="305"/>
      <c r="AE283" s="305"/>
      <c r="AF283" s="305"/>
      <c r="AG283" s="305"/>
      <c r="AH283" s="310" t="e">
        <f t="shared" si="85"/>
        <v>#VALUE!</v>
      </c>
    </row>
    <row r="284" spans="3:34">
      <c r="C284" s="307">
        <f t="shared" si="86"/>
        <v>16</v>
      </c>
      <c r="D284" s="305"/>
      <c r="E284" s="305"/>
      <c r="F284" s="305"/>
      <c r="G284" s="305"/>
      <c r="H284" s="305"/>
      <c r="I284" s="305"/>
      <c r="J284" s="305"/>
      <c r="K284" s="305"/>
      <c r="L284" s="305"/>
      <c r="M284" s="309"/>
      <c r="N284" s="332" t="e">
        <f>N283</f>
        <v>#VALUE!</v>
      </c>
      <c r="O284" s="305" t="e">
        <f>O283</f>
        <v>#VALUE!</v>
      </c>
      <c r="P284" s="305" t="e">
        <f>P283</f>
        <v>#VALUE!</v>
      </c>
      <c r="Q284" s="305" t="e">
        <f>Q283</f>
        <v>#VALUE!</v>
      </c>
      <c r="R284" s="308" t="e">
        <f>R$266/5</f>
        <v>#VALUE!</v>
      </c>
      <c r="S284" s="305"/>
      <c r="T284" s="305"/>
      <c r="U284" s="305"/>
      <c r="V284" s="305"/>
      <c r="W284" s="305"/>
      <c r="X284" s="305"/>
      <c r="Y284" s="305"/>
      <c r="Z284" s="305"/>
      <c r="AA284" s="305"/>
      <c r="AB284" s="305"/>
      <c r="AC284" s="305"/>
      <c r="AD284" s="305"/>
      <c r="AE284" s="305"/>
      <c r="AF284" s="305"/>
      <c r="AG284" s="305"/>
      <c r="AH284" s="310" t="e">
        <f t="shared" si="85"/>
        <v>#VALUE!</v>
      </c>
    </row>
    <row r="285" spans="3:34">
      <c r="C285" s="307">
        <f t="shared" si="86"/>
        <v>17</v>
      </c>
      <c r="D285" s="305"/>
      <c r="E285" s="305"/>
      <c r="F285" s="305"/>
      <c r="G285" s="305"/>
      <c r="H285" s="305"/>
      <c r="I285" s="305"/>
      <c r="J285" s="305"/>
      <c r="K285" s="305"/>
      <c r="L285" s="305"/>
      <c r="M285" s="309"/>
      <c r="N285" s="332"/>
      <c r="O285" s="305" t="e">
        <f>O284</f>
        <v>#VALUE!</v>
      </c>
      <c r="P285" s="305" t="e">
        <f>P284</f>
        <v>#VALUE!</v>
      </c>
      <c r="Q285" s="305" t="e">
        <f>Q284</f>
        <v>#VALUE!</v>
      </c>
      <c r="R285" s="305" t="e">
        <f>R284</f>
        <v>#VALUE!</v>
      </c>
      <c r="S285" s="308" t="e">
        <f>S$266/5</f>
        <v>#VALUE!</v>
      </c>
      <c r="T285" s="305"/>
      <c r="U285" s="305"/>
      <c r="V285" s="305"/>
      <c r="W285" s="305"/>
      <c r="X285" s="305"/>
      <c r="Y285" s="305"/>
      <c r="Z285" s="305"/>
      <c r="AA285" s="305"/>
      <c r="AB285" s="305"/>
      <c r="AC285" s="305"/>
      <c r="AD285" s="305"/>
      <c r="AE285" s="305"/>
      <c r="AF285" s="305"/>
      <c r="AG285" s="305"/>
      <c r="AH285" s="310" t="e">
        <f t="shared" si="85"/>
        <v>#VALUE!</v>
      </c>
    </row>
    <row r="286" spans="3:34">
      <c r="C286" s="307">
        <f t="shared" si="86"/>
        <v>18</v>
      </c>
      <c r="D286" s="305"/>
      <c r="E286" s="305"/>
      <c r="F286" s="305"/>
      <c r="G286" s="305"/>
      <c r="H286" s="305"/>
      <c r="I286" s="305"/>
      <c r="J286" s="305"/>
      <c r="K286" s="305"/>
      <c r="L286" s="305"/>
      <c r="M286" s="309"/>
      <c r="N286" s="332"/>
      <c r="O286" s="305"/>
      <c r="P286" s="325" t="e">
        <f>P285</f>
        <v>#VALUE!</v>
      </c>
      <c r="Q286" s="305" t="e">
        <f>Q285</f>
        <v>#VALUE!</v>
      </c>
      <c r="R286" s="305" t="e">
        <f>R285</f>
        <v>#VALUE!</v>
      </c>
      <c r="S286" s="305" t="e">
        <f>S285</f>
        <v>#VALUE!</v>
      </c>
      <c r="T286" s="308" t="e">
        <f>T$266/5</f>
        <v>#VALUE!</v>
      </c>
      <c r="U286" s="305"/>
      <c r="V286" s="305"/>
      <c r="W286" s="305"/>
      <c r="X286" s="305"/>
      <c r="Y286" s="305"/>
      <c r="Z286" s="305"/>
      <c r="AA286" s="305"/>
      <c r="AB286" s="305"/>
      <c r="AC286" s="305"/>
      <c r="AD286" s="305"/>
      <c r="AE286" s="305"/>
      <c r="AF286" s="305"/>
      <c r="AG286" s="305"/>
      <c r="AH286" s="310" t="e">
        <f t="shared" si="85"/>
        <v>#VALUE!</v>
      </c>
    </row>
    <row r="287" spans="3:34">
      <c r="C287" s="307">
        <f t="shared" si="86"/>
        <v>19</v>
      </c>
      <c r="D287" s="305"/>
      <c r="E287" s="305"/>
      <c r="F287" s="305"/>
      <c r="G287" s="305"/>
      <c r="H287" s="305"/>
      <c r="I287" s="305"/>
      <c r="J287" s="305"/>
      <c r="K287" s="305"/>
      <c r="L287" s="305"/>
      <c r="M287" s="309"/>
      <c r="N287" s="332"/>
      <c r="O287" s="305"/>
      <c r="P287" s="325"/>
      <c r="Q287" s="305" t="e">
        <f>Q286</f>
        <v>#VALUE!</v>
      </c>
      <c r="R287" s="305" t="e">
        <f>R286</f>
        <v>#VALUE!</v>
      </c>
      <c r="S287" s="305" t="e">
        <f>S286</f>
        <v>#VALUE!</v>
      </c>
      <c r="T287" s="305" t="e">
        <f>T286</f>
        <v>#VALUE!</v>
      </c>
      <c r="U287" s="308" t="e">
        <f>U$266/5</f>
        <v>#VALUE!</v>
      </c>
      <c r="V287" s="305"/>
      <c r="W287" s="305"/>
      <c r="X287" s="305"/>
      <c r="Y287" s="305"/>
      <c r="Z287" s="305"/>
      <c r="AA287" s="305"/>
      <c r="AB287" s="305"/>
      <c r="AC287" s="305"/>
      <c r="AD287" s="305"/>
      <c r="AE287" s="305"/>
      <c r="AF287" s="305"/>
      <c r="AG287" s="305"/>
      <c r="AH287" s="310" t="e">
        <f t="shared" si="85"/>
        <v>#VALUE!</v>
      </c>
    </row>
    <row r="288" spans="3:34">
      <c r="C288" s="307">
        <f t="shared" si="86"/>
        <v>20</v>
      </c>
      <c r="D288" s="305"/>
      <c r="E288" s="305"/>
      <c r="F288" s="305"/>
      <c r="G288" s="305"/>
      <c r="H288" s="305"/>
      <c r="I288" s="305"/>
      <c r="J288" s="305"/>
      <c r="K288" s="305"/>
      <c r="L288" s="305"/>
      <c r="M288" s="309"/>
      <c r="N288" s="332"/>
      <c r="O288" s="305"/>
      <c r="P288" s="325"/>
      <c r="Q288" s="305"/>
      <c r="R288" s="305" t="e">
        <f>R287</f>
        <v>#VALUE!</v>
      </c>
      <c r="S288" s="305" t="e">
        <f>S287</f>
        <v>#VALUE!</v>
      </c>
      <c r="T288" s="305" t="e">
        <f>T287</f>
        <v>#VALUE!</v>
      </c>
      <c r="U288" s="305" t="e">
        <f>U287</f>
        <v>#VALUE!</v>
      </c>
      <c r="V288" s="308" t="e">
        <f>V$266/5</f>
        <v>#VALUE!</v>
      </c>
      <c r="W288" s="305"/>
      <c r="X288" s="305"/>
      <c r="Y288" s="305"/>
      <c r="Z288" s="305"/>
      <c r="AA288" s="305"/>
      <c r="AB288" s="305"/>
      <c r="AC288" s="305"/>
      <c r="AD288" s="305"/>
      <c r="AE288" s="305"/>
      <c r="AF288" s="305"/>
      <c r="AG288" s="305"/>
      <c r="AH288" s="310" t="e">
        <f t="shared" si="85"/>
        <v>#VALUE!</v>
      </c>
    </row>
    <row r="289" spans="1:34">
      <c r="C289" s="307">
        <f t="shared" si="86"/>
        <v>21</v>
      </c>
      <c r="D289" s="305"/>
      <c r="E289" s="305"/>
      <c r="F289" s="305"/>
      <c r="G289" s="305"/>
      <c r="H289" s="305"/>
      <c r="I289" s="305"/>
      <c r="J289" s="305"/>
      <c r="K289" s="305"/>
      <c r="L289" s="305"/>
      <c r="M289" s="309"/>
      <c r="N289" s="332"/>
      <c r="O289" s="305"/>
      <c r="P289" s="325"/>
      <c r="Q289" s="305"/>
      <c r="R289" s="305"/>
      <c r="S289" s="305" t="e">
        <f>S288</f>
        <v>#VALUE!</v>
      </c>
      <c r="T289" s="305" t="e">
        <f>T288</f>
        <v>#VALUE!</v>
      </c>
      <c r="U289" s="305" t="e">
        <f>U288</f>
        <v>#VALUE!</v>
      </c>
      <c r="V289" s="305" t="e">
        <f>V288</f>
        <v>#VALUE!</v>
      </c>
      <c r="W289" s="308" t="e">
        <f>W$266/5</f>
        <v>#VALUE!</v>
      </c>
      <c r="X289" s="305"/>
      <c r="Y289" s="305"/>
      <c r="Z289" s="305"/>
      <c r="AA289" s="305"/>
      <c r="AB289" s="305"/>
      <c r="AC289" s="305"/>
      <c r="AD289" s="305"/>
      <c r="AE289" s="305"/>
      <c r="AF289" s="305"/>
      <c r="AG289" s="305"/>
      <c r="AH289" s="310" t="e">
        <f t="shared" si="85"/>
        <v>#VALUE!</v>
      </c>
    </row>
    <row r="290" spans="1:34">
      <c r="C290" s="307">
        <f t="shared" si="86"/>
        <v>22</v>
      </c>
      <c r="D290" s="305"/>
      <c r="E290" s="305"/>
      <c r="F290" s="305"/>
      <c r="G290" s="305"/>
      <c r="H290" s="305"/>
      <c r="I290" s="305"/>
      <c r="J290" s="305"/>
      <c r="K290" s="305"/>
      <c r="L290" s="305"/>
      <c r="M290" s="309"/>
      <c r="N290" s="332"/>
      <c r="O290" s="305"/>
      <c r="P290" s="325"/>
      <c r="Q290" s="305"/>
      <c r="R290" s="305"/>
      <c r="S290" s="305"/>
      <c r="T290" s="305" t="e">
        <f>T289</f>
        <v>#VALUE!</v>
      </c>
      <c r="U290" s="305" t="e">
        <f>U289</f>
        <v>#VALUE!</v>
      </c>
      <c r="V290" s="305" t="e">
        <f>V289</f>
        <v>#VALUE!</v>
      </c>
      <c r="W290" s="305" t="e">
        <f>W289</f>
        <v>#VALUE!</v>
      </c>
      <c r="X290" s="308" t="e">
        <f>X$266/5</f>
        <v>#VALUE!</v>
      </c>
      <c r="Y290" s="305"/>
      <c r="Z290" s="305"/>
      <c r="AA290" s="305"/>
      <c r="AB290" s="305"/>
      <c r="AC290" s="305"/>
      <c r="AD290" s="305"/>
      <c r="AE290" s="305"/>
      <c r="AF290" s="305"/>
      <c r="AG290" s="305"/>
      <c r="AH290" s="310" t="e">
        <f t="shared" si="85"/>
        <v>#VALUE!</v>
      </c>
    </row>
    <row r="291" spans="1:34">
      <c r="C291" s="307">
        <f t="shared" si="86"/>
        <v>23</v>
      </c>
      <c r="D291" s="305"/>
      <c r="E291" s="305"/>
      <c r="F291" s="305"/>
      <c r="G291" s="305"/>
      <c r="H291" s="305"/>
      <c r="I291" s="305"/>
      <c r="J291" s="305"/>
      <c r="K291" s="305"/>
      <c r="L291" s="305"/>
      <c r="M291" s="309"/>
      <c r="N291" s="332"/>
      <c r="O291" s="305"/>
      <c r="P291" s="325"/>
      <c r="Q291" s="305"/>
      <c r="R291" s="305"/>
      <c r="S291" s="305"/>
      <c r="T291" s="305"/>
      <c r="U291" s="305" t="e">
        <f>U290</f>
        <v>#VALUE!</v>
      </c>
      <c r="V291" s="305" t="e">
        <f>V290</f>
        <v>#VALUE!</v>
      </c>
      <c r="W291" s="305" t="e">
        <f>W290</f>
        <v>#VALUE!</v>
      </c>
      <c r="X291" s="305" t="e">
        <f>X290</f>
        <v>#VALUE!</v>
      </c>
      <c r="Y291" s="308" t="e">
        <f>Y$266/5</f>
        <v>#VALUE!</v>
      </c>
      <c r="Z291" s="305"/>
      <c r="AA291" s="305"/>
      <c r="AB291" s="305"/>
      <c r="AC291" s="305"/>
      <c r="AD291" s="305"/>
      <c r="AE291" s="305"/>
      <c r="AF291" s="305"/>
      <c r="AG291" s="305"/>
      <c r="AH291" s="310" t="e">
        <f t="shared" si="85"/>
        <v>#VALUE!</v>
      </c>
    </row>
    <row r="292" spans="1:34">
      <c r="C292" s="307">
        <f t="shared" si="86"/>
        <v>24</v>
      </c>
      <c r="D292" s="305"/>
      <c r="E292" s="305"/>
      <c r="F292" s="305"/>
      <c r="G292" s="305"/>
      <c r="H292" s="305"/>
      <c r="I292" s="305"/>
      <c r="J292" s="305"/>
      <c r="K292" s="305"/>
      <c r="L292" s="305"/>
      <c r="M292" s="309"/>
      <c r="N292" s="332"/>
      <c r="O292" s="305"/>
      <c r="P292" s="325"/>
      <c r="Q292" s="305"/>
      <c r="R292" s="305"/>
      <c r="S292" s="305"/>
      <c r="T292" s="305"/>
      <c r="U292" s="305"/>
      <c r="V292" s="305" t="e">
        <f>V291</f>
        <v>#VALUE!</v>
      </c>
      <c r="W292" s="305" t="e">
        <f>W291</f>
        <v>#VALUE!</v>
      </c>
      <c r="X292" s="305" t="e">
        <f>X291</f>
        <v>#VALUE!</v>
      </c>
      <c r="Y292" s="305" t="e">
        <f>Y291</f>
        <v>#VALUE!</v>
      </c>
      <c r="Z292" s="308" t="e">
        <f>Z$266/5</f>
        <v>#VALUE!</v>
      </c>
      <c r="AA292" s="305"/>
      <c r="AB292" s="305"/>
      <c r="AC292" s="305"/>
      <c r="AD292" s="305"/>
      <c r="AE292" s="305"/>
      <c r="AF292" s="305"/>
      <c r="AG292" s="305"/>
      <c r="AH292" s="310" t="e">
        <f t="shared" si="85"/>
        <v>#VALUE!</v>
      </c>
    </row>
    <row r="293" spans="1:34">
      <c r="C293" s="307">
        <f t="shared" si="86"/>
        <v>25</v>
      </c>
      <c r="D293" s="305"/>
      <c r="E293" s="305"/>
      <c r="F293" s="305"/>
      <c r="G293" s="305"/>
      <c r="H293" s="305"/>
      <c r="I293" s="305"/>
      <c r="J293" s="305"/>
      <c r="K293" s="305"/>
      <c r="L293" s="305"/>
      <c r="M293" s="309"/>
      <c r="N293" s="332"/>
      <c r="O293" s="305"/>
      <c r="P293" s="325"/>
      <c r="Q293" s="305"/>
      <c r="R293" s="305"/>
      <c r="S293" s="305"/>
      <c r="T293" s="305"/>
      <c r="U293" s="305"/>
      <c r="V293" s="305"/>
      <c r="W293" s="305" t="e">
        <f>W292</f>
        <v>#VALUE!</v>
      </c>
      <c r="X293" s="305" t="e">
        <f>X292</f>
        <v>#VALUE!</v>
      </c>
      <c r="Y293" s="305" t="e">
        <f>Y292</f>
        <v>#VALUE!</v>
      </c>
      <c r="Z293" s="305" t="e">
        <f>Z292</f>
        <v>#VALUE!</v>
      </c>
      <c r="AA293" s="308" t="e">
        <f>AA$266/5</f>
        <v>#VALUE!</v>
      </c>
      <c r="AB293" s="305"/>
      <c r="AC293" s="305"/>
      <c r="AD293" s="305"/>
      <c r="AE293" s="305"/>
      <c r="AF293" s="305"/>
      <c r="AG293" s="305"/>
      <c r="AH293" s="310" t="e">
        <f t="shared" si="85"/>
        <v>#VALUE!</v>
      </c>
    </row>
    <row r="294" spans="1:34">
      <c r="C294" s="307">
        <f t="shared" si="86"/>
        <v>26</v>
      </c>
      <c r="D294" s="305"/>
      <c r="E294" s="305"/>
      <c r="F294" s="305"/>
      <c r="G294" s="305"/>
      <c r="H294" s="305"/>
      <c r="I294" s="305"/>
      <c r="J294" s="305"/>
      <c r="K294" s="305"/>
      <c r="L294" s="305"/>
      <c r="M294" s="309"/>
      <c r="N294" s="332"/>
      <c r="O294" s="305"/>
      <c r="P294" s="325"/>
      <c r="Q294" s="305"/>
      <c r="R294" s="305"/>
      <c r="S294" s="305"/>
      <c r="T294" s="305"/>
      <c r="U294" s="305"/>
      <c r="V294" s="305"/>
      <c r="W294" s="305"/>
      <c r="X294" s="305" t="e">
        <f>X293</f>
        <v>#VALUE!</v>
      </c>
      <c r="Y294" s="305" t="e">
        <f>Y293</f>
        <v>#VALUE!</v>
      </c>
      <c r="Z294" s="305" t="e">
        <f>Z293</f>
        <v>#VALUE!</v>
      </c>
      <c r="AA294" s="305" t="e">
        <f>AA293</f>
        <v>#VALUE!</v>
      </c>
      <c r="AB294" s="308" t="e">
        <f>AB$266/5</f>
        <v>#VALUE!</v>
      </c>
      <c r="AC294" s="305"/>
      <c r="AD294" s="305"/>
      <c r="AE294" s="305"/>
      <c r="AF294" s="305"/>
      <c r="AG294" s="305"/>
      <c r="AH294" s="310" t="e">
        <f t="shared" si="85"/>
        <v>#VALUE!</v>
      </c>
    </row>
    <row r="295" spans="1:34">
      <c r="C295" s="307">
        <f t="shared" si="86"/>
        <v>27</v>
      </c>
      <c r="D295" s="305"/>
      <c r="E295" s="305"/>
      <c r="F295" s="305"/>
      <c r="G295" s="305"/>
      <c r="H295" s="305"/>
      <c r="I295" s="305"/>
      <c r="J295" s="305"/>
      <c r="K295" s="305"/>
      <c r="L295" s="305"/>
      <c r="M295" s="309"/>
      <c r="N295" s="332"/>
      <c r="O295" s="305"/>
      <c r="P295" s="325"/>
      <c r="Q295" s="305"/>
      <c r="R295" s="305"/>
      <c r="S295" s="305"/>
      <c r="T295" s="305"/>
      <c r="U295" s="305"/>
      <c r="V295" s="305"/>
      <c r="W295" s="305"/>
      <c r="X295" s="305"/>
      <c r="Y295" s="305" t="e">
        <f>Y294</f>
        <v>#VALUE!</v>
      </c>
      <c r="Z295" s="305" t="e">
        <f>Z294</f>
        <v>#VALUE!</v>
      </c>
      <c r="AA295" s="305" t="e">
        <f>AA294</f>
        <v>#VALUE!</v>
      </c>
      <c r="AB295" s="305" t="e">
        <f>AB294</f>
        <v>#VALUE!</v>
      </c>
      <c r="AC295" s="308" t="e">
        <f>AC266/4</f>
        <v>#VALUE!</v>
      </c>
      <c r="AD295" s="305"/>
      <c r="AE295" s="305"/>
      <c r="AF295" s="305"/>
      <c r="AG295" s="305"/>
      <c r="AH295" s="310" t="e">
        <f t="shared" si="85"/>
        <v>#VALUE!</v>
      </c>
    </row>
    <row r="296" spans="1:34">
      <c r="C296" s="307">
        <f t="shared" si="86"/>
        <v>28</v>
      </c>
      <c r="D296" s="305"/>
      <c r="E296" s="305"/>
      <c r="F296" s="305"/>
      <c r="G296" s="305"/>
      <c r="H296" s="305"/>
      <c r="I296" s="305"/>
      <c r="J296" s="305"/>
      <c r="K296" s="305"/>
      <c r="L296" s="305"/>
      <c r="M296" s="309"/>
      <c r="N296" s="332"/>
      <c r="O296" s="305"/>
      <c r="P296" s="325"/>
      <c r="Q296" s="305"/>
      <c r="R296" s="305"/>
      <c r="S296" s="305"/>
      <c r="T296" s="305"/>
      <c r="U296" s="305"/>
      <c r="V296" s="305"/>
      <c r="W296" s="305"/>
      <c r="X296" s="305"/>
      <c r="Y296" s="305"/>
      <c r="Z296" s="305" t="e">
        <f>Z295</f>
        <v>#VALUE!</v>
      </c>
      <c r="AA296" s="305" t="e">
        <f>AA295</f>
        <v>#VALUE!</v>
      </c>
      <c r="AB296" s="305" t="e">
        <f>AB295</f>
        <v>#VALUE!</v>
      </c>
      <c r="AC296" s="305" t="e">
        <f>AC295</f>
        <v>#VALUE!</v>
      </c>
      <c r="AD296" s="308" t="e">
        <f>AD266/3</f>
        <v>#VALUE!</v>
      </c>
      <c r="AE296" s="305"/>
      <c r="AF296" s="305"/>
      <c r="AG296" s="305"/>
      <c r="AH296" s="310" t="e">
        <f t="shared" si="85"/>
        <v>#VALUE!</v>
      </c>
    </row>
    <row r="297" spans="1:34">
      <c r="C297" s="307">
        <f t="shared" si="86"/>
        <v>29</v>
      </c>
      <c r="D297" s="305"/>
      <c r="E297" s="305"/>
      <c r="F297" s="305"/>
      <c r="G297" s="305"/>
      <c r="H297" s="305"/>
      <c r="I297" s="305"/>
      <c r="J297" s="305"/>
      <c r="K297" s="305"/>
      <c r="L297" s="305"/>
      <c r="M297" s="309"/>
      <c r="N297" s="332"/>
      <c r="O297" s="305"/>
      <c r="P297" s="305"/>
      <c r="Q297" s="305"/>
      <c r="R297" s="305"/>
      <c r="S297" s="305"/>
      <c r="T297" s="305"/>
      <c r="U297" s="305"/>
      <c r="V297" s="305"/>
      <c r="W297" s="305"/>
      <c r="X297" s="305"/>
      <c r="Y297" s="305"/>
      <c r="Z297" s="305"/>
      <c r="AA297" s="305" t="e">
        <f>AA296</f>
        <v>#VALUE!</v>
      </c>
      <c r="AB297" s="305" t="e">
        <f>AB296</f>
        <v>#VALUE!</v>
      </c>
      <c r="AC297" s="305" t="e">
        <f>AC296</f>
        <v>#VALUE!</v>
      </c>
      <c r="AD297" s="305" t="e">
        <f>AD296</f>
        <v>#VALUE!</v>
      </c>
      <c r="AE297" s="308" t="e">
        <f>AE266/2</f>
        <v>#VALUE!</v>
      </c>
      <c r="AF297" s="305"/>
      <c r="AG297" s="305"/>
      <c r="AH297" s="310" t="e">
        <f t="shared" si="85"/>
        <v>#VALUE!</v>
      </c>
    </row>
    <row r="298" spans="1:34" ht="13.5" thickBot="1">
      <c r="C298" s="307">
        <f t="shared" si="86"/>
        <v>30</v>
      </c>
      <c r="D298" s="305"/>
      <c r="E298" s="305"/>
      <c r="F298" s="305"/>
      <c r="G298" s="305"/>
      <c r="H298" s="305"/>
      <c r="I298" s="305"/>
      <c r="J298" s="305"/>
      <c r="K298" s="305"/>
      <c r="L298" s="335"/>
      <c r="M298" s="338"/>
      <c r="N298" s="291"/>
      <c r="O298" s="339"/>
      <c r="P298" s="339"/>
      <c r="Q298" s="339"/>
      <c r="R298" s="339"/>
      <c r="S298" s="339"/>
      <c r="T298" s="339"/>
      <c r="U298" s="339"/>
      <c r="V298" s="339"/>
      <c r="W298" s="339"/>
      <c r="X298" s="339"/>
      <c r="Y298" s="339"/>
      <c r="Z298" s="339"/>
      <c r="AA298" s="339"/>
      <c r="AB298" s="339" t="e">
        <f>AB297</f>
        <v>#VALUE!</v>
      </c>
      <c r="AC298" s="305" t="e">
        <f>AC297</f>
        <v>#VALUE!</v>
      </c>
      <c r="AD298" s="305" t="e">
        <f>AD297</f>
        <v>#VALUE!</v>
      </c>
      <c r="AE298" s="305" t="e">
        <f>AE297</f>
        <v>#VALUE!</v>
      </c>
      <c r="AF298" s="308" t="e">
        <f>AF266</f>
        <v>#VALUE!</v>
      </c>
      <c r="AG298" s="305" t="e">
        <f>AG266</f>
        <v>#VALUE!</v>
      </c>
      <c r="AH298" s="310" t="e">
        <f t="shared" si="85"/>
        <v>#VALUE!</v>
      </c>
    </row>
    <row r="299" spans="1:34" ht="14.25" thickTop="1" thickBot="1">
      <c r="C299" s="311" t="s">
        <v>0</v>
      </c>
      <c r="D299" s="328" t="e">
        <f t="shared" ref="D299:AH299" si="87">SUM(D268:D298)</f>
        <v>#VALUE!</v>
      </c>
      <c r="E299" s="328" t="e">
        <f t="shared" si="87"/>
        <v>#VALUE!</v>
      </c>
      <c r="F299" s="328" t="e">
        <f t="shared" si="87"/>
        <v>#VALUE!</v>
      </c>
      <c r="G299" s="328" t="e">
        <f t="shared" si="87"/>
        <v>#VALUE!</v>
      </c>
      <c r="H299" s="328" t="e">
        <f t="shared" si="87"/>
        <v>#VALUE!</v>
      </c>
      <c r="I299" s="328" t="e">
        <f t="shared" si="87"/>
        <v>#VALUE!</v>
      </c>
      <c r="J299" s="328" t="e">
        <f t="shared" si="87"/>
        <v>#VALUE!</v>
      </c>
      <c r="K299" s="328" t="e">
        <f t="shared" si="87"/>
        <v>#VALUE!</v>
      </c>
      <c r="L299" s="340" t="e">
        <f t="shared" si="87"/>
        <v>#VALUE!</v>
      </c>
      <c r="M299" s="340" t="e">
        <f t="shared" si="87"/>
        <v>#VALUE!</v>
      </c>
      <c r="N299" s="328" t="e">
        <f t="shared" si="87"/>
        <v>#VALUE!</v>
      </c>
      <c r="O299" s="328" t="e">
        <f t="shared" si="87"/>
        <v>#VALUE!</v>
      </c>
      <c r="P299" s="328" t="e">
        <f t="shared" si="87"/>
        <v>#VALUE!</v>
      </c>
      <c r="Q299" s="328" t="e">
        <f t="shared" si="87"/>
        <v>#VALUE!</v>
      </c>
      <c r="R299" s="328" t="e">
        <f t="shared" si="87"/>
        <v>#VALUE!</v>
      </c>
      <c r="S299" s="328" t="e">
        <f t="shared" si="87"/>
        <v>#VALUE!</v>
      </c>
      <c r="T299" s="328" t="e">
        <f t="shared" si="87"/>
        <v>#VALUE!</v>
      </c>
      <c r="U299" s="328" t="e">
        <f t="shared" si="87"/>
        <v>#VALUE!</v>
      </c>
      <c r="V299" s="328" t="e">
        <f t="shared" si="87"/>
        <v>#VALUE!</v>
      </c>
      <c r="W299" s="328" t="e">
        <f t="shared" si="87"/>
        <v>#VALUE!</v>
      </c>
      <c r="X299" s="328" t="e">
        <f t="shared" si="87"/>
        <v>#VALUE!</v>
      </c>
      <c r="Y299" s="328" t="e">
        <f t="shared" si="87"/>
        <v>#VALUE!</v>
      </c>
      <c r="Z299" s="328" t="e">
        <f t="shared" si="87"/>
        <v>#VALUE!</v>
      </c>
      <c r="AA299" s="328" t="e">
        <f t="shared" si="87"/>
        <v>#VALUE!</v>
      </c>
      <c r="AB299" s="328" t="e">
        <f t="shared" si="87"/>
        <v>#VALUE!</v>
      </c>
      <c r="AC299" s="328" t="e">
        <f t="shared" si="87"/>
        <v>#VALUE!</v>
      </c>
      <c r="AD299" s="328" t="e">
        <f t="shared" si="87"/>
        <v>#VALUE!</v>
      </c>
      <c r="AE299" s="328" t="e">
        <f t="shared" si="87"/>
        <v>#VALUE!</v>
      </c>
      <c r="AF299" s="329" t="e">
        <f t="shared" si="87"/>
        <v>#VALUE!</v>
      </c>
      <c r="AG299" s="328" t="e">
        <f t="shared" si="87"/>
        <v>#VALUE!</v>
      </c>
      <c r="AH299" s="315" t="e">
        <f t="shared" si="87"/>
        <v>#VALUE!</v>
      </c>
    </row>
    <row r="302" spans="1:34" ht="13.5" thickBot="1"/>
    <row r="303" spans="1:34">
      <c r="A303" s="292">
        <v>0</v>
      </c>
      <c r="B303" s="13" t="e">
        <v>#VALUE!</v>
      </c>
      <c r="C303" s="293" t="s">
        <v>257</v>
      </c>
      <c r="D303" s="337"/>
      <c r="E303" s="295">
        <v>3</v>
      </c>
      <c r="F303" s="294"/>
      <c r="G303" s="294"/>
      <c r="H303" s="294"/>
      <c r="I303" s="294"/>
      <c r="J303" s="294"/>
      <c r="K303" s="294"/>
      <c r="L303" s="294"/>
      <c r="M303" s="294"/>
      <c r="N303" s="294"/>
      <c r="O303" s="294"/>
      <c r="P303" s="294"/>
      <c r="Q303" s="294"/>
      <c r="R303" s="294"/>
      <c r="S303" s="294"/>
      <c r="T303" s="294"/>
      <c r="U303" s="294"/>
      <c r="V303" s="294"/>
      <c r="W303" s="294"/>
      <c r="X303" s="294"/>
      <c r="Y303" s="294"/>
      <c r="Z303" s="294"/>
      <c r="AA303" s="294"/>
      <c r="AB303" s="294"/>
      <c r="AC303" s="294"/>
      <c r="AD303" s="294"/>
      <c r="AE303" s="294"/>
      <c r="AF303" s="294"/>
      <c r="AG303" s="294"/>
      <c r="AH303" s="296"/>
    </row>
    <row r="304" spans="1:34">
      <c r="A304" s="297">
        <v>0</v>
      </c>
      <c r="B304" s="15" t="e">
        <f>AH304</f>
        <v>#VALUE!</v>
      </c>
      <c r="C304" s="298" t="s">
        <v>256</v>
      </c>
      <c r="D304" s="299" t="e">
        <v>#VALUE!</v>
      </c>
      <c r="E304" s="299" t="e">
        <v>#VALUE!</v>
      </c>
      <c r="F304" s="299" t="e">
        <v>#VALUE!</v>
      </c>
      <c r="G304" s="299" t="e">
        <v>#VALUE!</v>
      </c>
      <c r="H304" s="299" t="e">
        <v>#VALUE!</v>
      </c>
      <c r="I304" s="299" t="e">
        <v>#VALUE!</v>
      </c>
      <c r="J304" s="299" t="e">
        <v>#VALUE!</v>
      </c>
      <c r="K304" s="299" t="e">
        <v>#VALUE!</v>
      </c>
      <c r="L304" s="299" t="e">
        <v>#VALUE!</v>
      </c>
      <c r="M304" s="299" t="e">
        <v>#VALUE!</v>
      </c>
      <c r="N304" s="299" t="e">
        <v>#VALUE!</v>
      </c>
      <c r="O304" s="299" t="e">
        <v>#VALUE!</v>
      </c>
      <c r="P304" s="299" t="e">
        <v>#VALUE!</v>
      </c>
      <c r="Q304" s="299" t="e">
        <v>#VALUE!</v>
      </c>
      <c r="R304" s="299" t="e">
        <v>#VALUE!</v>
      </c>
      <c r="S304" s="299" t="e">
        <v>#VALUE!</v>
      </c>
      <c r="T304" s="299" t="e">
        <v>#VALUE!</v>
      </c>
      <c r="U304" s="299" t="e">
        <v>#VALUE!</v>
      </c>
      <c r="V304" s="299" t="e">
        <v>#VALUE!</v>
      </c>
      <c r="W304" s="299" t="e">
        <v>#VALUE!</v>
      </c>
      <c r="X304" s="299" t="e">
        <v>#VALUE!</v>
      </c>
      <c r="Y304" s="299" t="e">
        <v>#VALUE!</v>
      </c>
      <c r="Z304" s="299" t="e">
        <v>#VALUE!</v>
      </c>
      <c r="AA304" s="299" t="e">
        <v>#VALUE!</v>
      </c>
      <c r="AB304" s="299" t="e">
        <v>#VALUE!</v>
      </c>
      <c r="AC304" s="299" t="e">
        <v>#VALUE!</v>
      </c>
      <c r="AD304" s="299" t="e">
        <v>#VALUE!</v>
      </c>
      <c r="AE304" s="299" t="e">
        <v>#VALUE!</v>
      </c>
      <c r="AF304" s="299" t="e">
        <v>#VALUE!</v>
      </c>
      <c r="AG304" s="299" t="e">
        <v>#VALUE!</v>
      </c>
      <c r="AH304" s="300" t="e">
        <f>SUM(D304:AG304)</f>
        <v>#VALUE!</v>
      </c>
    </row>
    <row r="305" spans="3:34">
      <c r="C305" s="301" t="s">
        <v>1</v>
      </c>
      <c r="D305" s="302">
        <v>1</v>
      </c>
      <c r="E305" s="302">
        <f t="shared" ref="E305:AG305" si="88">D305+1</f>
        <v>2</v>
      </c>
      <c r="F305" s="302">
        <f t="shared" si="88"/>
        <v>3</v>
      </c>
      <c r="G305" s="302">
        <f t="shared" si="88"/>
        <v>4</v>
      </c>
      <c r="H305" s="302">
        <f t="shared" si="88"/>
        <v>5</v>
      </c>
      <c r="I305" s="302">
        <f t="shared" si="88"/>
        <v>6</v>
      </c>
      <c r="J305" s="302">
        <f t="shared" si="88"/>
        <v>7</v>
      </c>
      <c r="K305" s="302">
        <f t="shared" si="88"/>
        <v>8</v>
      </c>
      <c r="L305" s="302">
        <f t="shared" si="88"/>
        <v>9</v>
      </c>
      <c r="M305" s="302">
        <f t="shared" si="88"/>
        <v>10</v>
      </c>
      <c r="N305" s="302">
        <f t="shared" si="88"/>
        <v>11</v>
      </c>
      <c r="O305" s="302">
        <f t="shared" si="88"/>
        <v>12</v>
      </c>
      <c r="P305" s="302">
        <f t="shared" si="88"/>
        <v>13</v>
      </c>
      <c r="Q305" s="302">
        <f t="shared" si="88"/>
        <v>14</v>
      </c>
      <c r="R305" s="302">
        <f t="shared" si="88"/>
        <v>15</v>
      </c>
      <c r="S305" s="302">
        <f t="shared" si="88"/>
        <v>16</v>
      </c>
      <c r="T305" s="302">
        <f t="shared" si="88"/>
        <v>17</v>
      </c>
      <c r="U305" s="302">
        <f t="shared" si="88"/>
        <v>18</v>
      </c>
      <c r="V305" s="302">
        <f t="shared" si="88"/>
        <v>19</v>
      </c>
      <c r="W305" s="302">
        <f t="shared" si="88"/>
        <v>20</v>
      </c>
      <c r="X305" s="302">
        <f t="shared" si="88"/>
        <v>21</v>
      </c>
      <c r="Y305" s="302">
        <f t="shared" si="88"/>
        <v>22</v>
      </c>
      <c r="Z305" s="302">
        <f t="shared" si="88"/>
        <v>23</v>
      </c>
      <c r="AA305" s="302">
        <f t="shared" si="88"/>
        <v>24</v>
      </c>
      <c r="AB305" s="302">
        <f t="shared" si="88"/>
        <v>25</v>
      </c>
      <c r="AC305" s="302">
        <f t="shared" si="88"/>
        <v>26</v>
      </c>
      <c r="AD305" s="302">
        <f t="shared" si="88"/>
        <v>27</v>
      </c>
      <c r="AE305" s="302">
        <f t="shared" si="88"/>
        <v>28</v>
      </c>
      <c r="AF305" s="302">
        <f t="shared" si="88"/>
        <v>29</v>
      </c>
      <c r="AG305" s="302">
        <f t="shared" si="88"/>
        <v>30</v>
      </c>
      <c r="AH305" s="303" t="s">
        <v>0</v>
      </c>
    </row>
    <row r="306" spans="3:34">
      <c r="C306" s="304">
        <v>0</v>
      </c>
      <c r="D306" s="305"/>
      <c r="E306" s="305"/>
      <c r="F306" s="305"/>
      <c r="G306" s="305"/>
      <c r="H306" s="305"/>
      <c r="I306" s="305"/>
      <c r="J306" s="305"/>
      <c r="K306" s="305"/>
      <c r="L306" s="305"/>
      <c r="M306" s="319"/>
      <c r="N306" s="305"/>
      <c r="O306" s="305"/>
      <c r="P306" s="305"/>
      <c r="Q306" s="305"/>
      <c r="R306" s="305"/>
      <c r="S306" s="305"/>
      <c r="T306" s="305"/>
      <c r="U306" s="305"/>
      <c r="V306" s="305"/>
      <c r="W306" s="305"/>
      <c r="X306" s="305"/>
      <c r="Y306" s="305"/>
      <c r="Z306" s="305"/>
      <c r="AA306" s="305"/>
      <c r="AB306" s="305"/>
      <c r="AC306" s="305"/>
      <c r="AD306" s="305"/>
      <c r="AE306" s="305"/>
      <c r="AF306" s="305"/>
      <c r="AG306" s="305"/>
      <c r="AH306" s="306">
        <f t="shared" ref="AH306:AH336" si="89">SUM(D306:AG306)</f>
        <v>0</v>
      </c>
    </row>
    <row r="307" spans="3:34">
      <c r="C307" s="307">
        <f t="shared" ref="C307:C336" si="90">1+C306</f>
        <v>1</v>
      </c>
      <c r="D307" s="305"/>
      <c r="E307" s="305"/>
      <c r="F307" s="305"/>
      <c r="G307" s="305"/>
      <c r="H307" s="305"/>
      <c r="I307" s="305"/>
      <c r="J307" s="305"/>
      <c r="K307" s="305"/>
      <c r="L307" s="305"/>
      <c r="M307" s="309"/>
      <c r="N307" s="305"/>
      <c r="O307" s="305"/>
      <c r="P307" s="305"/>
      <c r="Q307" s="305"/>
      <c r="R307" s="305"/>
      <c r="S307" s="305"/>
      <c r="T307" s="305"/>
      <c r="U307" s="305"/>
      <c r="V307" s="305"/>
      <c r="W307" s="305"/>
      <c r="X307" s="305"/>
      <c r="Y307" s="305"/>
      <c r="Z307" s="305"/>
      <c r="AA307" s="305"/>
      <c r="AB307" s="305"/>
      <c r="AC307" s="305"/>
      <c r="AD307" s="305"/>
      <c r="AE307" s="305"/>
      <c r="AF307" s="305"/>
      <c r="AG307" s="305"/>
      <c r="AH307" s="310">
        <f t="shared" si="89"/>
        <v>0</v>
      </c>
    </row>
    <row r="308" spans="3:34">
      <c r="C308" s="307">
        <f t="shared" si="90"/>
        <v>2</v>
      </c>
      <c r="D308" s="308" t="e">
        <f>D304/3</f>
        <v>#VALUE!</v>
      </c>
      <c r="E308" s="305"/>
      <c r="F308" s="305"/>
      <c r="G308" s="305"/>
      <c r="H308" s="305"/>
      <c r="I308" s="305"/>
      <c r="J308" s="305"/>
      <c r="K308" s="305"/>
      <c r="L308" s="305"/>
      <c r="M308" s="309"/>
      <c r="N308" s="305"/>
      <c r="O308" s="305"/>
      <c r="P308" s="305"/>
      <c r="Q308" s="305"/>
      <c r="R308" s="305"/>
      <c r="S308" s="305"/>
      <c r="T308" s="305"/>
      <c r="U308" s="305"/>
      <c r="V308" s="305"/>
      <c r="W308" s="305"/>
      <c r="X308" s="305"/>
      <c r="Y308" s="305"/>
      <c r="Z308" s="305"/>
      <c r="AA308" s="305"/>
      <c r="AB308" s="305"/>
      <c r="AC308" s="305"/>
      <c r="AD308" s="305"/>
      <c r="AE308" s="305"/>
      <c r="AF308" s="305"/>
      <c r="AG308" s="305"/>
      <c r="AH308" s="310" t="e">
        <f t="shared" si="89"/>
        <v>#VALUE!</v>
      </c>
    </row>
    <row r="309" spans="3:34">
      <c r="C309" s="307">
        <f t="shared" si="90"/>
        <v>3</v>
      </c>
      <c r="D309" s="305" t="e">
        <f>D308</f>
        <v>#VALUE!</v>
      </c>
      <c r="E309" s="308" t="e">
        <f>E304/3</f>
        <v>#VALUE!</v>
      </c>
      <c r="F309" s="305"/>
      <c r="G309" s="305"/>
      <c r="H309" s="305"/>
      <c r="I309" s="305"/>
      <c r="J309" s="305"/>
      <c r="K309" s="305"/>
      <c r="L309" s="305"/>
      <c r="M309" s="309"/>
      <c r="N309" s="305"/>
      <c r="O309" s="305"/>
      <c r="P309" s="305"/>
      <c r="Q309" s="305"/>
      <c r="R309" s="305"/>
      <c r="S309" s="305"/>
      <c r="T309" s="305"/>
      <c r="U309" s="305"/>
      <c r="V309" s="305"/>
      <c r="W309" s="305"/>
      <c r="X309" s="305"/>
      <c r="Y309" s="305"/>
      <c r="Z309" s="305"/>
      <c r="AA309" s="305"/>
      <c r="AB309" s="305"/>
      <c r="AC309" s="305"/>
      <c r="AD309" s="305"/>
      <c r="AE309" s="305"/>
      <c r="AF309" s="305"/>
      <c r="AG309" s="305"/>
      <c r="AH309" s="310" t="e">
        <f t="shared" si="89"/>
        <v>#VALUE!</v>
      </c>
    </row>
    <row r="310" spans="3:34">
      <c r="C310" s="307">
        <f t="shared" si="90"/>
        <v>4</v>
      </c>
      <c r="D310" s="305" t="e">
        <f>D309</f>
        <v>#VALUE!</v>
      </c>
      <c r="E310" s="305" t="e">
        <f>E309</f>
        <v>#VALUE!</v>
      </c>
      <c r="F310" s="308" t="e">
        <f>F$304/3</f>
        <v>#VALUE!</v>
      </c>
      <c r="G310" s="305"/>
      <c r="H310" s="305"/>
      <c r="I310" s="305"/>
      <c r="J310" s="305"/>
      <c r="K310" s="305"/>
      <c r="L310" s="305"/>
      <c r="M310" s="309"/>
      <c r="N310" s="305"/>
      <c r="O310" s="305"/>
      <c r="P310" s="305"/>
      <c r="Q310" s="305"/>
      <c r="R310" s="305"/>
      <c r="S310" s="305"/>
      <c r="T310" s="305"/>
      <c r="U310" s="305"/>
      <c r="V310" s="305"/>
      <c r="W310" s="305"/>
      <c r="X310" s="305"/>
      <c r="Y310" s="305"/>
      <c r="Z310" s="305"/>
      <c r="AA310" s="305"/>
      <c r="AB310" s="305"/>
      <c r="AC310" s="305"/>
      <c r="AD310" s="305"/>
      <c r="AE310" s="305"/>
      <c r="AF310" s="305"/>
      <c r="AG310" s="305"/>
      <c r="AH310" s="310" t="e">
        <f t="shared" si="89"/>
        <v>#VALUE!</v>
      </c>
    </row>
    <row r="311" spans="3:34">
      <c r="C311" s="307">
        <f t="shared" si="90"/>
        <v>5</v>
      </c>
      <c r="D311" s="305"/>
      <c r="E311" s="305" t="e">
        <f>E310</f>
        <v>#VALUE!</v>
      </c>
      <c r="F311" s="305" t="e">
        <f>F310</f>
        <v>#VALUE!</v>
      </c>
      <c r="G311" s="308" t="e">
        <f>G$304/3</f>
        <v>#VALUE!</v>
      </c>
      <c r="H311" s="305"/>
      <c r="I311" s="305"/>
      <c r="J311" s="305"/>
      <c r="K311" s="305"/>
      <c r="L311" s="305"/>
      <c r="M311" s="309"/>
      <c r="N311" s="305"/>
      <c r="O311" s="305"/>
      <c r="P311" s="305"/>
      <c r="Q311" s="305"/>
      <c r="R311" s="305"/>
      <c r="S311" s="305"/>
      <c r="T311" s="305"/>
      <c r="U311" s="305"/>
      <c r="V311" s="305"/>
      <c r="W311" s="305"/>
      <c r="X311" s="305"/>
      <c r="Y311" s="305"/>
      <c r="Z311" s="305"/>
      <c r="AA311" s="305"/>
      <c r="AB311" s="305"/>
      <c r="AC311" s="305"/>
      <c r="AD311" s="305"/>
      <c r="AE311" s="305"/>
      <c r="AF311" s="305"/>
      <c r="AG311" s="305"/>
      <c r="AH311" s="310" t="e">
        <f t="shared" si="89"/>
        <v>#VALUE!</v>
      </c>
    </row>
    <row r="312" spans="3:34">
      <c r="C312" s="307">
        <f t="shared" si="90"/>
        <v>6</v>
      </c>
      <c r="D312" s="305"/>
      <c r="E312" s="305"/>
      <c r="F312" s="305" t="e">
        <f>F311</f>
        <v>#VALUE!</v>
      </c>
      <c r="G312" s="305" t="e">
        <f>G311</f>
        <v>#VALUE!</v>
      </c>
      <c r="H312" s="308" t="e">
        <f>H$304/3</f>
        <v>#VALUE!</v>
      </c>
      <c r="I312" s="305"/>
      <c r="J312" s="305"/>
      <c r="K312" s="305"/>
      <c r="L312" s="305"/>
      <c r="M312" s="309"/>
      <c r="N312" s="305"/>
      <c r="O312" s="305"/>
      <c r="P312" s="305"/>
      <c r="Q312" s="305"/>
      <c r="R312" s="305"/>
      <c r="S312" s="305"/>
      <c r="T312" s="305"/>
      <c r="U312" s="305"/>
      <c r="V312" s="305"/>
      <c r="W312" s="305"/>
      <c r="X312" s="305"/>
      <c r="Y312" s="305"/>
      <c r="Z312" s="305"/>
      <c r="AA312" s="305"/>
      <c r="AB312" s="305"/>
      <c r="AC312" s="305"/>
      <c r="AD312" s="305"/>
      <c r="AE312" s="305"/>
      <c r="AF312" s="305"/>
      <c r="AG312" s="305"/>
      <c r="AH312" s="310" t="e">
        <f t="shared" si="89"/>
        <v>#VALUE!</v>
      </c>
    </row>
    <row r="313" spans="3:34">
      <c r="C313" s="307">
        <f t="shared" si="90"/>
        <v>7</v>
      </c>
      <c r="D313" s="305"/>
      <c r="E313" s="305"/>
      <c r="F313" s="305"/>
      <c r="G313" s="305" t="e">
        <f>G312</f>
        <v>#VALUE!</v>
      </c>
      <c r="H313" s="305" t="e">
        <f>H312</f>
        <v>#VALUE!</v>
      </c>
      <c r="I313" s="308" t="e">
        <f>I$304/3</f>
        <v>#VALUE!</v>
      </c>
      <c r="J313" s="325"/>
      <c r="K313" s="305"/>
      <c r="L313" s="305"/>
      <c r="M313" s="309"/>
      <c r="N313" s="305"/>
      <c r="O313" s="305"/>
      <c r="P313" s="305"/>
      <c r="Q313" s="305"/>
      <c r="R313" s="305"/>
      <c r="S313" s="305"/>
      <c r="T313" s="305"/>
      <c r="U313" s="305"/>
      <c r="V313" s="305"/>
      <c r="W313" s="305"/>
      <c r="X313" s="305"/>
      <c r="Y313" s="305"/>
      <c r="Z313" s="305"/>
      <c r="AA313" s="305"/>
      <c r="AB313" s="305"/>
      <c r="AC313" s="305"/>
      <c r="AD313" s="305"/>
      <c r="AE313" s="305"/>
      <c r="AF313" s="305"/>
      <c r="AG313" s="305"/>
      <c r="AH313" s="310" t="e">
        <f t="shared" si="89"/>
        <v>#VALUE!</v>
      </c>
    </row>
    <row r="314" spans="3:34">
      <c r="C314" s="307">
        <f t="shared" si="90"/>
        <v>8</v>
      </c>
      <c r="D314" s="305"/>
      <c r="E314" s="305"/>
      <c r="F314" s="305"/>
      <c r="G314" s="305"/>
      <c r="H314" s="305" t="e">
        <f>H313</f>
        <v>#VALUE!</v>
      </c>
      <c r="I314" s="305" t="e">
        <f>I313</f>
        <v>#VALUE!</v>
      </c>
      <c r="J314" s="308" t="e">
        <f>J$304/3</f>
        <v>#VALUE!</v>
      </c>
      <c r="K314" s="305"/>
      <c r="L314" s="305"/>
      <c r="M314" s="309"/>
      <c r="N314" s="305"/>
      <c r="O314" s="305"/>
      <c r="P314" s="305"/>
      <c r="Q314" s="305"/>
      <c r="R314" s="305"/>
      <c r="S314" s="305"/>
      <c r="T314" s="305"/>
      <c r="U314" s="305"/>
      <c r="V314" s="305"/>
      <c r="W314" s="305"/>
      <c r="X314" s="305"/>
      <c r="Y314" s="305"/>
      <c r="Z314" s="305"/>
      <c r="AA314" s="305"/>
      <c r="AB314" s="305"/>
      <c r="AC314" s="305"/>
      <c r="AD314" s="305"/>
      <c r="AE314" s="305"/>
      <c r="AF314" s="305"/>
      <c r="AG314" s="305"/>
      <c r="AH314" s="310" t="e">
        <f t="shared" si="89"/>
        <v>#VALUE!</v>
      </c>
    </row>
    <row r="315" spans="3:34">
      <c r="C315" s="307">
        <f t="shared" si="90"/>
        <v>9</v>
      </c>
      <c r="D315" s="305"/>
      <c r="E315" s="305"/>
      <c r="F315" s="305"/>
      <c r="G315" s="305"/>
      <c r="H315" s="305"/>
      <c r="I315" s="305" t="e">
        <f>I314</f>
        <v>#VALUE!</v>
      </c>
      <c r="J315" s="305" t="e">
        <f>J314</f>
        <v>#VALUE!</v>
      </c>
      <c r="K315" s="308" t="e">
        <f>K$304/3</f>
        <v>#VALUE!</v>
      </c>
      <c r="L315" s="305"/>
      <c r="M315" s="309"/>
      <c r="N315" s="305"/>
      <c r="O315" s="305"/>
      <c r="P315" s="305"/>
      <c r="Q315" s="305"/>
      <c r="R315" s="305"/>
      <c r="S315" s="305"/>
      <c r="T315" s="305"/>
      <c r="U315" s="305"/>
      <c r="V315" s="305"/>
      <c r="W315" s="305"/>
      <c r="X315" s="305"/>
      <c r="Y315" s="305"/>
      <c r="Z315" s="305"/>
      <c r="AA315" s="305"/>
      <c r="AB315" s="305"/>
      <c r="AC315" s="305"/>
      <c r="AD315" s="305"/>
      <c r="AE315" s="305"/>
      <c r="AF315" s="305"/>
      <c r="AG315" s="305"/>
      <c r="AH315" s="310" t="e">
        <f t="shared" si="89"/>
        <v>#VALUE!</v>
      </c>
    </row>
    <row r="316" spans="3:34">
      <c r="C316" s="307">
        <f t="shared" si="90"/>
        <v>10</v>
      </c>
      <c r="D316" s="305"/>
      <c r="E316" s="305"/>
      <c r="F316" s="305"/>
      <c r="G316" s="305"/>
      <c r="H316" s="305"/>
      <c r="I316" s="305"/>
      <c r="J316" s="305" t="e">
        <f>J315</f>
        <v>#VALUE!</v>
      </c>
      <c r="K316" s="305" t="e">
        <f>K315</f>
        <v>#VALUE!</v>
      </c>
      <c r="L316" s="308" t="e">
        <f>L$304/3</f>
        <v>#VALUE!</v>
      </c>
      <c r="M316" s="309"/>
      <c r="N316" s="305"/>
      <c r="O316" s="305"/>
      <c r="P316" s="305"/>
      <c r="Q316" s="305"/>
      <c r="R316" s="305"/>
      <c r="S316" s="305"/>
      <c r="T316" s="305"/>
      <c r="U316" s="305"/>
      <c r="V316" s="305"/>
      <c r="W316" s="305"/>
      <c r="X316" s="305"/>
      <c r="Y316" s="305"/>
      <c r="Z316" s="305"/>
      <c r="AA316" s="305"/>
      <c r="AB316" s="305"/>
      <c r="AC316" s="305"/>
      <c r="AD316" s="305"/>
      <c r="AE316" s="305"/>
      <c r="AF316" s="305"/>
      <c r="AG316" s="305"/>
      <c r="AH316" s="310" t="e">
        <f t="shared" si="89"/>
        <v>#VALUE!</v>
      </c>
    </row>
    <row r="317" spans="3:34">
      <c r="C317" s="307">
        <f t="shared" si="90"/>
        <v>11</v>
      </c>
      <c r="D317" s="305"/>
      <c r="E317" s="305"/>
      <c r="F317" s="305"/>
      <c r="G317" s="305"/>
      <c r="H317" s="305"/>
      <c r="I317" s="305"/>
      <c r="J317" s="305"/>
      <c r="K317" s="305" t="e">
        <f>K316</f>
        <v>#VALUE!</v>
      </c>
      <c r="L317" s="305" t="e">
        <f>L316</f>
        <v>#VALUE!</v>
      </c>
      <c r="M317" s="308" t="e">
        <f>M$304/3</f>
        <v>#VALUE!</v>
      </c>
      <c r="N317" s="305"/>
      <c r="O317" s="305"/>
      <c r="P317" s="305"/>
      <c r="Q317" s="305"/>
      <c r="R317" s="305"/>
      <c r="S317" s="305"/>
      <c r="T317" s="305"/>
      <c r="U317" s="305"/>
      <c r="V317" s="305"/>
      <c r="W317" s="305"/>
      <c r="X317" s="305"/>
      <c r="Y317" s="305"/>
      <c r="Z317" s="305"/>
      <c r="AA317" s="305"/>
      <c r="AB317" s="305"/>
      <c r="AC317" s="305"/>
      <c r="AD317" s="305"/>
      <c r="AE317" s="305"/>
      <c r="AF317" s="305"/>
      <c r="AG317" s="305"/>
      <c r="AH317" s="310" t="e">
        <f t="shared" si="89"/>
        <v>#VALUE!</v>
      </c>
    </row>
    <row r="318" spans="3:34">
      <c r="C318" s="307">
        <f t="shared" si="90"/>
        <v>12</v>
      </c>
      <c r="D318" s="305"/>
      <c r="E318" s="305"/>
      <c r="F318" s="305"/>
      <c r="G318" s="305"/>
      <c r="H318" s="305"/>
      <c r="I318" s="305"/>
      <c r="J318" s="305"/>
      <c r="K318" s="305"/>
      <c r="L318" s="305" t="e">
        <f>L317</f>
        <v>#VALUE!</v>
      </c>
      <c r="M318" s="309" t="e">
        <f>M317</f>
        <v>#VALUE!</v>
      </c>
      <c r="N318" s="308" t="e">
        <f>N$304/3</f>
        <v>#VALUE!</v>
      </c>
      <c r="O318" s="305"/>
      <c r="P318" s="325"/>
      <c r="Q318" s="305"/>
      <c r="R318" s="305"/>
      <c r="S318" s="305"/>
      <c r="T318" s="305"/>
      <c r="U318" s="305"/>
      <c r="V318" s="305"/>
      <c r="W318" s="305"/>
      <c r="X318" s="305"/>
      <c r="Y318" s="305"/>
      <c r="Z318" s="305"/>
      <c r="AA318" s="305"/>
      <c r="AB318" s="305"/>
      <c r="AC318" s="305"/>
      <c r="AD318" s="305"/>
      <c r="AE318" s="305"/>
      <c r="AF318" s="305"/>
      <c r="AG318" s="305"/>
      <c r="AH318" s="310" t="e">
        <f t="shared" si="89"/>
        <v>#VALUE!</v>
      </c>
    </row>
    <row r="319" spans="3:34">
      <c r="C319" s="307">
        <f t="shared" si="90"/>
        <v>13</v>
      </c>
      <c r="D319" s="305"/>
      <c r="E319" s="305"/>
      <c r="F319" s="305"/>
      <c r="G319" s="305"/>
      <c r="H319" s="305"/>
      <c r="I319" s="305"/>
      <c r="J319" s="325"/>
      <c r="K319" s="305"/>
      <c r="L319" s="305"/>
      <c r="M319" s="309" t="e">
        <f>M318</f>
        <v>#VALUE!</v>
      </c>
      <c r="N319" s="305" t="e">
        <f>N318</f>
        <v>#VALUE!</v>
      </c>
      <c r="O319" s="308" t="e">
        <f>O$304/3</f>
        <v>#VALUE!</v>
      </c>
      <c r="P319" s="305"/>
      <c r="Q319" s="305"/>
      <c r="R319" s="305"/>
      <c r="S319" s="305"/>
      <c r="T319" s="305"/>
      <c r="U319" s="305"/>
      <c r="V319" s="305"/>
      <c r="W319" s="305"/>
      <c r="X319" s="305"/>
      <c r="Y319" s="305"/>
      <c r="Z319" s="305"/>
      <c r="AA319" s="305"/>
      <c r="AB319" s="305"/>
      <c r="AC319" s="305"/>
      <c r="AD319" s="305"/>
      <c r="AE319" s="305"/>
      <c r="AF319" s="305"/>
      <c r="AG319" s="305"/>
      <c r="AH319" s="310" t="e">
        <f t="shared" si="89"/>
        <v>#VALUE!</v>
      </c>
    </row>
    <row r="320" spans="3:34">
      <c r="C320" s="307">
        <f t="shared" si="90"/>
        <v>14</v>
      </c>
      <c r="D320" s="305"/>
      <c r="E320" s="305"/>
      <c r="F320" s="305"/>
      <c r="G320" s="305"/>
      <c r="H320" s="305"/>
      <c r="I320" s="305"/>
      <c r="J320" s="325"/>
      <c r="K320" s="305"/>
      <c r="L320" s="305"/>
      <c r="M320" s="309"/>
      <c r="N320" s="305" t="e">
        <f>N319</f>
        <v>#VALUE!</v>
      </c>
      <c r="O320" s="305" t="e">
        <f>O319</f>
        <v>#VALUE!</v>
      </c>
      <c r="P320" s="308" t="e">
        <f>P$304/3</f>
        <v>#VALUE!</v>
      </c>
      <c r="Q320" s="305"/>
      <c r="R320" s="305"/>
      <c r="S320" s="305"/>
      <c r="T320" s="305"/>
      <c r="U320" s="305"/>
      <c r="V320" s="305"/>
      <c r="W320" s="305"/>
      <c r="X320" s="305"/>
      <c r="Y320" s="305"/>
      <c r="Z320" s="305"/>
      <c r="AA320" s="305"/>
      <c r="AB320" s="305"/>
      <c r="AC320" s="305"/>
      <c r="AD320" s="305"/>
      <c r="AE320" s="305"/>
      <c r="AF320" s="305"/>
      <c r="AG320" s="305"/>
      <c r="AH320" s="310" t="e">
        <f t="shared" si="89"/>
        <v>#VALUE!</v>
      </c>
    </row>
    <row r="321" spans="3:34">
      <c r="C321" s="307">
        <f t="shared" si="90"/>
        <v>15</v>
      </c>
      <c r="D321" s="305"/>
      <c r="E321" s="305"/>
      <c r="F321" s="305"/>
      <c r="G321" s="305"/>
      <c r="H321" s="305"/>
      <c r="I321" s="305"/>
      <c r="J321" s="325"/>
      <c r="K321" s="305"/>
      <c r="L321" s="305"/>
      <c r="M321" s="309"/>
      <c r="N321" s="305"/>
      <c r="O321" s="305" t="e">
        <f>O320</f>
        <v>#VALUE!</v>
      </c>
      <c r="P321" s="305" t="e">
        <f>P320</f>
        <v>#VALUE!</v>
      </c>
      <c r="Q321" s="308" t="e">
        <f>Q$304/3</f>
        <v>#VALUE!</v>
      </c>
      <c r="R321" s="305"/>
      <c r="S321" s="305"/>
      <c r="T321" s="305"/>
      <c r="U321" s="305"/>
      <c r="V321" s="305"/>
      <c r="W321" s="305"/>
      <c r="X321" s="305"/>
      <c r="Y321" s="305"/>
      <c r="Z321" s="305"/>
      <c r="AA321" s="305"/>
      <c r="AB321" s="305"/>
      <c r="AC321" s="305"/>
      <c r="AD321" s="305"/>
      <c r="AE321" s="305"/>
      <c r="AF321" s="305"/>
      <c r="AG321" s="305"/>
      <c r="AH321" s="310" t="e">
        <f t="shared" si="89"/>
        <v>#VALUE!</v>
      </c>
    </row>
    <row r="322" spans="3:34">
      <c r="C322" s="307">
        <f t="shared" si="90"/>
        <v>16</v>
      </c>
      <c r="D322" s="305"/>
      <c r="E322" s="305"/>
      <c r="F322" s="305"/>
      <c r="G322" s="305"/>
      <c r="H322" s="305"/>
      <c r="I322" s="305"/>
      <c r="J322" s="305"/>
      <c r="K322" s="305"/>
      <c r="L322" s="305"/>
      <c r="M322" s="309"/>
      <c r="N322" s="305"/>
      <c r="O322" s="305"/>
      <c r="P322" s="305" t="e">
        <f>P321</f>
        <v>#VALUE!</v>
      </c>
      <c r="Q322" s="305" t="e">
        <f>Q321</f>
        <v>#VALUE!</v>
      </c>
      <c r="R322" s="308" t="e">
        <f>R$304/3</f>
        <v>#VALUE!</v>
      </c>
      <c r="S322" s="305"/>
      <c r="T322" s="305"/>
      <c r="U322" s="305"/>
      <c r="V322" s="305"/>
      <c r="W322" s="305"/>
      <c r="X322" s="305"/>
      <c r="Y322" s="305"/>
      <c r="Z322" s="305"/>
      <c r="AA322" s="305"/>
      <c r="AB322" s="305"/>
      <c r="AC322" s="305"/>
      <c r="AD322" s="305"/>
      <c r="AE322" s="305"/>
      <c r="AF322" s="305"/>
      <c r="AG322" s="305"/>
      <c r="AH322" s="310" t="e">
        <f t="shared" si="89"/>
        <v>#VALUE!</v>
      </c>
    </row>
    <row r="323" spans="3:34">
      <c r="C323" s="307">
        <f t="shared" si="90"/>
        <v>17</v>
      </c>
      <c r="D323" s="305"/>
      <c r="E323" s="305"/>
      <c r="F323" s="305"/>
      <c r="G323" s="305"/>
      <c r="H323" s="305"/>
      <c r="I323" s="305"/>
      <c r="J323" s="305"/>
      <c r="K323" s="305"/>
      <c r="L323" s="305"/>
      <c r="M323" s="309"/>
      <c r="N323" s="305"/>
      <c r="O323" s="305"/>
      <c r="P323" s="305"/>
      <c r="Q323" s="305" t="e">
        <f>Q322</f>
        <v>#VALUE!</v>
      </c>
      <c r="R323" s="305" t="e">
        <f>R322</f>
        <v>#VALUE!</v>
      </c>
      <c r="S323" s="308" t="e">
        <f>S$304/3</f>
        <v>#VALUE!</v>
      </c>
      <c r="T323" s="305"/>
      <c r="U323" s="305"/>
      <c r="V323" s="305"/>
      <c r="W323" s="305"/>
      <c r="X323" s="305"/>
      <c r="Y323" s="305"/>
      <c r="Z323" s="305"/>
      <c r="AA323" s="305"/>
      <c r="AB323" s="305"/>
      <c r="AC323" s="305"/>
      <c r="AD323" s="305"/>
      <c r="AE323" s="305"/>
      <c r="AF323" s="305"/>
      <c r="AG323" s="305"/>
      <c r="AH323" s="310" t="e">
        <f t="shared" si="89"/>
        <v>#VALUE!</v>
      </c>
    </row>
    <row r="324" spans="3:34">
      <c r="C324" s="307">
        <f t="shared" si="90"/>
        <v>18</v>
      </c>
      <c r="D324" s="305"/>
      <c r="E324" s="305"/>
      <c r="F324" s="305"/>
      <c r="G324" s="305"/>
      <c r="H324" s="305"/>
      <c r="I324" s="305"/>
      <c r="J324" s="305"/>
      <c r="K324" s="305"/>
      <c r="L324" s="305"/>
      <c r="M324" s="309"/>
      <c r="N324" s="305"/>
      <c r="O324" s="305"/>
      <c r="P324" s="325"/>
      <c r="Q324" s="305"/>
      <c r="R324" s="305" t="e">
        <f>R323</f>
        <v>#VALUE!</v>
      </c>
      <c r="S324" s="305" t="e">
        <f>S323</f>
        <v>#VALUE!</v>
      </c>
      <c r="T324" s="308" t="e">
        <f>T$304/3</f>
        <v>#VALUE!</v>
      </c>
      <c r="U324" s="305"/>
      <c r="V324" s="305"/>
      <c r="W324" s="305"/>
      <c r="X324" s="305"/>
      <c r="Y324" s="305"/>
      <c r="Z324" s="305"/>
      <c r="AA324" s="305"/>
      <c r="AB324" s="305"/>
      <c r="AC324" s="305"/>
      <c r="AD324" s="305"/>
      <c r="AE324" s="305"/>
      <c r="AF324" s="305"/>
      <c r="AG324" s="305"/>
      <c r="AH324" s="310" t="e">
        <f t="shared" si="89"/>
        <v>#VALUE!</v>
      </c>
    </row>
    <row r="325" spans="3:34">
      <c r="C325" s="307">
        <f t="shared" si="90"/>
        <v>19</v>
      </c>
      <c r="D325" s="305"/>
      <c r="E325" s="305"/>
      <c r="F325" s="305"/>
      <c r="G325" s="305"/>
      <c r="H325" s="305"/>
      <c r="I325" s="305"/>
      <c r="J325" s="305"/>
      <c r="K325" s="305"/>
      <c r="L325" s="305"/>
      <c r="M325" s="309"/>
      <c r="N325" s="305"/>
      <c r="O325" s="305"/>
      <c r="P325" s="325"/>
      <c r="Q325" s="305"/>
      <c r="R325" s="305"/>
      <c r="S325" s="305" t="e">
        <f>S324</f>
        <v>#VALUE!</v>
      </c>
      <c r="T325" s="305" t="e">
        <f>T324</f>
        <v>#VALUE!</v>
      </c>
      <c r="U325" s="308" t="e">
        <f>U$304/3</f>
        <v>#VALUE!</v>
      </c>
      <c r="V325" s="305"/>
      <c r="W325" s="305"/>
      <c r="X325" s="305"/>
      <c r="Y325" s="305"/>
      <c r="Z325" s="305"/>
      <c r="AA325" s="305"/>
      <c r="AB325" s="305"/>
      <c r="AC325" s="305"/>
      <c r="AD325" s="305"/>
      <c r="AE325" s="305"/>
      <c r="AF325" s="305"/>
      <c r="AG325" s="305"/>
      <c r="AH325" s="310" t="e">
        <f t="shared" si="89"/>
        <v>#VALUE!</v>
      </c>
    </row>
    <row r="326" spans="3:34">
      <c r="C326" s="307">
        <f t="shared" si="90"/>
        <v>20</v>
      </c>
      <c r="D326" s="305"/>
      <c r="E326" s="305"/>
      <c r="F326" s="305"/>
      <c r="G326" s="305"/>
      <c r="H326" s="305"/>
      <c r="I326" s="305"/>
      <c r="J326" s="305"/>
      <c r="K326" s="305"/>
      <c r="L326" s="305"/>
      <c r="M326" s="309"/>
      <c r="N326" s="305"/>
      <c r="O326" s="305"/>
      <c r="P326" s="325"/>
      <c r="Q326" s="305"/>
      <c r="R326" s="305"/>
      <c r="S326" s="305"/>
      <c r="T326" s="305" t="e">
        <f>T325</f>
        <v>#VALUE!</v>
      </c>
      <c r="U326" s="305" t="e">
        <f>U325</f>
        <v>#VALUE!</v>
      </c>
      <c r="V326" s="308" t="e">
        <f>V$304/3</f>
        <v>#VALUE!</v>
      </c>
      <c r="W326" s="305"/>
      <c r="X326" s="305"/>
      <c r="Y326" s="305"/>
      <c r="Z326" s="305"/>
      <c r="AA326" s="305"/>
      <c r="AB326" s="305"/>
      <c r="AC326" s="305"/>
      <c r="AD326" s="305"/>
      <c r="AE326" s="305"/>
      <c r="AF326" s="305"/>
      <c r="AG326" s="305"/>
      <c r="AH326" s="310" t="e">
        <f t="shared" si="89"/>
        <v>#VALUE!</v>
      </c>
    </row>
    <row r="327" spans="3:34">
      <c r="C327" s="307">
        <f t="shared" si="90"/>
        <v>21</v>
      </c>
      <c r="D327" s="305"/>
      <c r="E327" s="305"/>
      <c r="F327" s="305"/>
      <c r="G327" s="305"/>
      <c r="H327" s="305"/>
      <c r="I327" s="305"/>
      <c r="J327" s="305"/>
      <c r="K327" s="305"/>
      <c r="L327" s="305"/>
      <c r="M327" s="309"/>
      <c r="N327" s="305"/>
      <c r="O327" s="305"/>
      <c r="P327" s="325"/>
      <c r="Q327" s="305"/>
      <c r="R327" s="305"/>
      <c r="S327" s="305"/>
      <c r="T327" s="305"/>
      <c r="U327" s="305" t="e">
        <f>U326</f>
        <v>#VALUE!</v>
      </c>
      <c r="V327" s="305" t="e">
        <f>V326</f>
        <v>#VALUE!</v>
      </c>
      <c r="W327" s="308" t="e">
        <f>W$304/3</f>
        <v>#VALUE!</v>
      </c>
      <c r="X327" s="305"/>
      <c r="Y327" s="305"/>
      <c r="Z327" s="305"/>
      <c r="AA327" s="305"/>
      <c r="AB327" s="305"/>
      <c r="AC327" s="305"/>
      <c r="AD327" s="305"/>
      <c r="AE327" s="305"/>
      <c r="AF327" s="305"/>
      <c r="AG327" s="305"/>
      <c r="AH327" s="310" t="e">
        <f t="shared" si="89"/>
        <v>#VALUE!</v>
      </c>
    </row>
    <row r="328" spans="3:34">
      <c r="C328" s="307">
        <f t="shared" si="90"/>
        <v>22</v>
      </c>
      <c r="D328" s="305"/>
      <c r="E328" s="305"/>
      <c r="F328" s="305"/>
      <c r="G328" s="305"/>
      <c r="H328" s="305"/>
      <c r="I328" s="305"/>
      <c r="J328" s="305"/>
      <c r="K328" s="305"/>
      <c r="L328" s="305"/>
      <c r="M328" s="309"/>
      <c r="N328" s="305"/>
      <c r="O328" s="305"/>
      <c r="P328" s="325"/>
      <c r="Q328" s="305"/>
      <c r="R328" s="305"/>
      <c r="S328" s="305"/>
      <c r="T328" s="305"/>
      <c r="U328" s="305"/>
      <c r="V328" s="305" t="e">
        <f>V327</f>
        <v>#VALUE!</v>
      </c>
      <c r="W328" s="305" t="e">
        <f>W327</f>
        <v>#VALUE!</v>
      </c>
      <c r="X328" s="308" t="e">
        <f>X$304/3</f>
        <v>#VALUE!</v>
      </c>
      <c r="Y328" s="305"/>
      <c r="Z328" s="305"/>
      <c r="AA328" s="305"/>
      <c r="AB328" s="305"/>
      <c r="AC328" s="305"/>
      <c r="AD328" s="305"/>
      <c r="AE328" s="305"/>
      <c r="AF328" s="305"/>
      <c r="AG328" s="305"/>
      <c r="AH328" s="310" t="e">
        <f t="shared" si="89"/>
        <v>#VALUE!</v>
      </c>
    </row>
    <row r="329" spans="3:34">
      <c r="C329" s="307">
        <f t="shared" si="90"/>
        <v>23</v>
      </c>
      <c r="D329" s="305"/>
      <c r="E329" s="305"/>
      <c r="F329" s="305"/>
      <c r="G329" s="305"/>
      <c r="H329" s="305"/>
      <c r="I329" s="305"/>
      <c r="J329" s="305"/>
      <c r="K329" s="305"/>
      <c r="L329" s="305"/>
      <c r="M329" s="309"/>
      <c r="N329" s="305"/>
      <c r="O329" s="305"/>
      <c r="P329" s="325"/>
      <c r="Q329" s="305"/>
      <c r="R329" s="305"/>
      <c r="S329" s="305"/>
      <c r="T329" s="305"/>
      <c r="U329" s="305"/>
      <c r="V329" s="305"/>
      <c r="W329" s="305" t="e">
        <f>W328</f>
        <v>#VALUE!</v>
      </c>
      <c r="X329" s="305" t="e">
        <f>X328</f>
        <v>#VALUE!</v>
      </c>
      <c r="Y329" s="308" t="e">
        <f>Y$304/3</f>
        <v>#VALUE!</v>
      </c>
      <c r="Z329" s="305"/>
      <c r="AA329" s="305"/>
      <c r="AB329" s="305"/>
      <c r="AC329" s="305"/>
      <c r="AD329" s="305"/>
      <c r="AE329" s="305"/>
      <c r="AF329" s="305"/>
      <c r="AG329" s="305"/>
      <c r="AH329" s="310" t="e">
        <f t="shared" si="89"/>
        <v>#VALUE!</v>
      </c>
    </row>
    <row r="330" spans="3:34">
      <c r="C330" s="307">
        <f t="shared" si="90"/>
        <v>24</v>
      </c>
      <c r="D330" s="305"/>
      <c r="E330" s="305"/>
      <c r="F330" s="305"/>
      <c r="G330" s="305"/>
      <c r="H330" s="305"/>
      <c r="I330" s="305"/>
      <c r="J330" s="305"/>
      <c r="K330" s="305"/>
      <c r="L330" s="305"/>
      <c r="M330" s="309"/>
      <c r="N330" s="305"/>
      <c r="O330" s="305"/>
      <c r="P330" s="325"/>
      <c r="Q330" s="305"/>
      <c r="R330" s="305"/>
      <c r="S330" s="305"/>
      <c r="T330" s="305"/>
      <c r="U330" s="305"/>
      <c r="V330" s="305"/>
      <c r="W330" s="305"/>
      <c r="X330" s="305" t="e">
        <f>X329</f>
        <v>#VALUE!</v>
      </c>
      <c r="Y330" s="305" t="e">
        <f>Y329</f>
        <v>#VALUE!</v>
      </c>
      <c r="Z330" s="308" t="e">
        <f>Z$304/3</f>
        <v>#VALUE!</v>
      </c>
      <c r="AA330" s="305"/>
      <c r="AB330" s="305"/>
      <c r="AC330" s="305"/>
      <c r="AD330" s="305"/>
      <c r="AE330" s="305"/>
      <c r="AF330" s="305"/>
      <c r="AG330" s="305"/>
      <c r="AH330" s="310" t="e">
        <f t="shared" si="89"/>
        <v>#VALUE!</v>
      </c>
    </row>
    <row r="331" spans="3:34">
      <c r="C331" s="307">
        <f t="shared" si="90"/>
        <v>25</v>
      </c>
      <c r="D331" s="305"/>
      <c r="E331" s="305"/>
      <c r="F331" s="305"/>
      <c r="G331" s="305"/>
      <c r="H331" s="305"/>
      <c r="I331" s="305"/>
      <c r="J331" s="305"/>
      <c r="K331" s="305"/>
      <c r="L331" s="305"/>
      <c r="M331" s="309"/>
      <c r="N331" s="305"/>
      <c r="O331" s="305"/>
      <c r="P331" s="325"/>
      <c r="Q331" s="305"/>
      <c r="R331" s="305"/>
      <c r="S331" s="305"/>
      <c r="T331" s="305"/>
      <c r="U331" s="305"/>
      <c r="V331" s="305"/>
      <c r="W331" s="305"/>
      <c r="X331" s="305"/>
      <c r="Y331" s="305" t="e">
        <f>Y330</f>
        <v>#VALUE!</v>
      </c>
      <c r="Z331" s="305" t="e">
        <f>Z330</f>
        <v>#VALUE!</v>
      </c>
      <c r="AA331" s="308" t="e">
        <f>AA$304/3</f>
        <v>#VALUE!</v>
      </c>
      <c r="AB331" s="305"/>
      <c r="AC331" s="305"/>
      <c r="AD331" s="305"/>
      <c r="AE331" s="305"/>
      <c r="AF331" s="305"/>
      <c r="AG331" s="305"/>
      <c r="AH331" s="310" t="e">
        <f t="shared" si="89"/>
        <v>#VALUE!</v>
      </c>
    </row>
    <row r="332" spans="3:34">
      <c r="C332" s="307">
        <f t="shared" si="90"/>
        <v>26</v>
      </c>
      <c r="D332" s="305"/>
      <c r="E332" s="305"/>
      <c r="F332" s="305"/>
      <c r="G332" s="305"/>
      <c r="H332" s="305"/>
      <c r="I332" s="305"/>
      <c r="J332" s="305"/>
      <c r="K332" s="305"/>
      <c r="L332" s="305"/>
      <c r="M332" s="309"/>
      <c r="N332" s="305"/>
      <c r="O332" s="305"/>
      <c r="P332" s="325"/>
      <c r="Q332" s="305"/>
      <c r="R332" s="305"/>
      <c r="S332" s="305"/>
      <c r="T332" s="305"/>
      <c r="U332" s="305"/>
      <c r="V332" s="305"/>
      <c r="W332" s="305"/>
      <c r="X332" s="305"/>
      <c r="Y332" s="305"/>
      <c r="Z332" s="305" t="e">
        <f>Z331</f>
        <v>#VALUE!</v>
      </c>
      <c r="AA332" s="305" t="e">
        <f>AA331</f>
        <v>#VALUE!</v>
      </c>
      <c r="AB332" s="308" t="e">
        <f>AB$304/3</f>
        <v>#VALUE!</v>
      </c>
      <c r="AC332" s="305"/>
      <c r="AD332" s="305"/>
      <c r="AE332" s="305"/>
      <c r="AF332" s="305"/>
      <c r="AG332" s="305"/>
      <c r="AH332" s="310" t="e">
        <f t="shared" si="89"/>
        <v>#VALUE!</v>
      </c>
    </row>
    <row r="333" spans="3:34">
      <c r="C333" s="307">
        <f t="shared" si="90"/>
        <v>27</v>
      </c>
      <c r="D333" s="305"/>
      <c r="E333" s="305"/>
      <c r="F333" s="305"/>
      <c r="G333" s="305"/>
      <c r="H333" s="305"/>
      <c r="I333" s="305"/>
      <c r="J333" s="305"/>
      <c r="K333" s="305"/>
      <c r="L333" s="305"/>
      <c r="M333" s="309"/>
      <c r="N333" s="305"/>
      <c r="O333" s="305"/>
      <c r="P333" s="325"/>
      <c r="Q333" s="305"/>
      <c r="R333" s="305"/>
      <c r="S333" s="305"/>
      <c r="T333" s="305"/>
      <c r="U333" s="305"/>
      <c r="V333" s="305"/>
      <c r="W333" s="305"/>
      <c r="X333" s="305"/>
      <c r="Y333" s="305"/>
      <c r="Z333" s="305"/>
      <c r="AA333" s="305" t="e">
        <f>AA332</f>
        <v>#VALUE!</v>
      </c>
      <c r="AB333" s="305" t="e">
        <f>AB332</f>
        <v>#VALUE!</v>
      </c>
      <c r="AC333" s="308" t="e">
        <f>AC$304/3</f>
        <v>#VALUE!</v>
      </c>
      <c r="AD333" s="305"/>
      <c r="AE333" s="305"/>
      <c r="AF333" s="305"/>
      <c r="AG333" s="305"/>
      <c r="AH333" s="310" t="e">
        <f t="shared" si="89"/>
        <v>#VALUE!</v>
      </c>
    </row>
    <row r="334" spans="3:34">
      <c r="C334" s="307">
        <f t="shared" si="90"/>
        <v>28</v>
      </c>
      <c r="D334" s="305"/>
      <c r="E334" s="305"/>
      <c r="F334" s="305"/>
      <c r="G334" s="305"/>
      <c r="H334" s="305"/>
      <c r="I334" s="305"/>
      <c r="J334" s="305"/>
      <c r="K334" s="305"/>
      <c r="L334" s="305"/>
      <c r="M334" s="309"/>
      <c r="N334" s="305"/>
      <c r="O334" s="305"/>
      <c r="P334" s="325"/>
      <c r="Q334" s="305"/>
      <c r="R334" s="305"/>
      <c r="S334" s="305"/>
      <c r="T334" s="305"/>
      <c r="U334" s="305"/>
      <c r="V334" s="305"/>
      <c r="W334" s="305"/>
      <c r="X334" s="305"/>
      <c r="Y334" s="305"/>
      <c r="Z334" s="305"/>
      <c r="AA334" s="305"/>
      <c r="AB334" s="305" t="e">
        <f>AB333</f>
        <v>#VALUE!</v>
      </c>
      <c r="AC334" s="305" t="e">
        <f>AC333</f>
        <v>#VALUE!</v>
      </c>
      <c r="AD334" s="308" t="e">
        <f>AD$304/3</f>
        <v>#VALUE!</v>
      </c>
      <c r="AE334" s="305"/>
      <c r="AF334" s="305"/>
      <c r="AG334" s="305"/>
      <c r="AH334" s="310" t="e">
        <f t="shared" si="89"/>
        <v>#VALUE!</v>
      </c>
    </row>
    <row r="335" spans="3:34">
      <c r="C335" s="307">
        <f t="shared" si="90"/>
        <v>29</v>
      </c>
      <c r="D335" s="305"/>
      <c r="E335" s="305"/>
      <c r="F335" s="305"/>
      <c r="G335" s="305"/>
      <c r="H335" s="305"/>
      <c r="I335" s="305"/>
      <c r="J335" s="305"/>
      <c r="K335" s="305"/>
      <c r="L335" s="305"/>
      <c r="M335" s="309"/>
      <c r="N335" s="305"/>
      <c r="O335" s="305"/>
      <c r="P335" s="305"/>
      <c r="Q335" s="305"/>
      <c r="R335" s="305"/>
      <c r="S335" s="305"/>
      <c r="T335" s="305"/>
      <c r="U335" s="305"/>
      <c r="V335" s="305"/>
      <c r="W335" s="305"/>
      <c r="X335" s="305"/>
      <c r="Y335" s="305"/>
      <c r="Z335" s="305"/>
      <c r="AA335" s="305"/>
      <c r="AB335" s="305"/>
      <c r="AC335" s="305" t="e">
        <f>AC334</f>
        <v>#VALUE!</v>
      </c>
      <c r="AD335" s="305" t="e">
        <f>AD334</f>
        <v>#VALUE!</v>
      </c>
      <c r="AE335" s="308" t="e">
        <f>AE304/2</f>
        <v>#VALUE!</v>
      </c>
      <c r="AF335" s="305"/>
      <c r="AG335" s="305"/>
      <c r="AH335" s="310" t="e">
        <f t="shared" si="89"/>
        <v>#VALUE!</v>
      </c>
    </row>
    <row r="336" spans="3:34" ht="13.5" thickBot="1">
      <c r="C336" s="307">
        <f t="shared" si="90"/>
        <v>30</v>
      </c>
      <c r="D336" s="305"/>
      <c r="E336" s="305"/>
      <c r="F336" s="305"/>
      <c r="G336" s="305"/>
      <c r="H336" s="305"/>
      <c r="I336" s="305"/>
      <c r="J336" s="305"/>
      <c r="K336" s="305"/>
      <c r="L336" s="305"/>
      <c r="M336" s="305"/>
      <c r="N336" s="305"/>
      <c r="O336" s="305"/>
      <c r="P336" s="305"/>
      <c r="Q336" s="305"/>
      <c r="R336" s="305"/>
      <c r="S336" s="305"/>
      <c r="T336" s="305"/>
      <c r="U336" s="305"/>
      <c r="V336" s="305"/>
      <c r="W336" s="305"/>
      <c r="X336" s="305"/>
      <c r="Y336" s="305"/>
      <c r="Z336" s="305"/>
      <c r="AA336" s="305"/>
      <c r="AB336" s="305"/>
      <c r="AC336" s="305"/>
      <c r="AD336" s="305" t="e">
        <f>AD335</f>
        <v>#VALUE!</v>
      </c>
      <c r="AE336" s="305" t="e">
        <f>AE335</f>
        <v>#VALUE!</v>
      </c>
      <c r="AF336" s="308" t="e">
        <f>AF304</f>
        <v>#VALUE!</v>
      </c>
      <c r="AG336" s="308" t="e">
        <f>AG304</f>
        <v>#VALUE!</v>
      </c>
      <c r="AH336" s="310" t="e">
        <f t="shared" si="89"/>
        <v>#VALUE!</v>
      </c>
    </row>
    <row r="337" spans="3:34" ht="14.25" thickTop="1" thickBot="1">
      <c r="C337" s="311" t="s">
        <v>0</v>
      </c>
      <c r="D337" s="328" t="e">
        <f t="shared" ref="D337:AH337" si="91">SUM(D306:D336)</f>
        <v>#VALUE!</v>
      </c>
      <c r="E337" s="328" t="e">
        <f t="shared" si="91"/>
        <v>#VALUE!</v>
      </c>
      <c r="F337" s="328" t="e">
        <f t="shared" si="91"/>
        <v>#VALUE!</v>
      </c>
      <c r="G337" s="328" t="e">
        <f t="shared" si="91"/>
        <v>#VALUE!</v>
      </c>
      <c r="H337" s="328" t="e">
        <f t="shared" si="91"/>
        <v>#VALUE!</v>
      </c>
      <c r="I337" s="328" t="e">
        <f t="shared" si="91"/>
        <v>#VALUE!</v>
      </c>
      <c r="J337" s="328" t="e">
        <f t="shared" si="91"/>
        <v>#VALUE!</v>
      </c>
      <c r="K337" s="328" t="e">
        <f t="shared" si="91"/>
        <v>#VALUE!</v>
      </c>
      <c r="L337" s="328" t="e">
        <f t="shared" si="91"/>
        <v>#VALUE!</v>
      </c>
      <c r="M337" s="336" t="e">
        <f t="shared" si="91"/>
        <v>#VALUE!</v>
      </c>
      <c r="N337" s="328" t="e">
        <f t="shared" si="91"/>
        <v>#VALUE!</v>
      </c>
      <c r="O337" s="328" t="e">
        <f t="shared" si="91"/>
        <v>#VALUE!</v>
      </c>
      <c r="P337" s="328" t="e">
        <f t="shared" si="91"/>
        <v>#VALUE!</v>
      </c>
      <c r="Q337" s="328" t="e">
        <f t="shared" si="91"/>
        <v>#VALUE!</v>
      </c>
      <c r="R337" s="328" t="e">
        <f t="shared" si="91"/>
        <v>#VALUE!</v>
      </c>
      <c r="S337" s="328" t="e">
        <f t="shared" si="91"/>
        <v>#VALUE!</v>
      </c>
      <c r="T337" s="328" t="e">
        <f t="shared" si="91"/>
        <v>#VALUE!</v>
      </c>
      <c r="U337" s="328" t="e">
        <f t="shared" si="91"/>
        <v>#VALUE!</v>
      </c>
      <c r="V337" s="328" t="e">
        <f t="shared" si="91"/>
        <v>#VALUE!</v>
      </c>
      <c r="W337" s="328" t="e">
        <f t="shared" si="91"/>
        <v>#VALUE!</v>
      </c>
      <c r="X337" s="328" t="e">
        <f t="shared" si="91"/>
        <v>#VALUE!</v>
      </c>
      <c r="Y337" s="328" t="e">
        <f t="shared" si="91"/>
        <v>#VALUE!</v>
      </c>
      <c r="Z337" s="328" t="e">
        <f t="shared" si="91"/>
        <v>#VALUE!</v>
      </c>
      <c r="AA337" s="328" t="e">
        <f t="shared" si="91"/>
        <v>#VALUE!</v>
      </c>
      <c r="AB337" s="328" t="e">
        <f t="shared" si="91"/>
        <v>#VALUE!</v>
      </c>
      <c r="AC337" s="328" t="e">
        <f t="shared" si="91"/>
        <v>#VALUE!</v>
      </c>
      <c r="AD337" s="328" t="e">
        <f t="shared" si="91"/>
        <v>#VALUE!</v>
      </c>
      <c r="AE337" s="328" t="e">
        <f t="shared" si="91"/>
        <v>#VALUE!</v>
      </c>
      <c r="AF337" s="329" t="e">
        <f t="shared" si="91"/>
        <v>#VALUE!</v>
      </c>
      <c r="AG337" s="329" t="e">
        <f t="shared" si="91"/>
        <v>#VALUE!</v>
      </c>
      <c r="AH337" s="315" t="e">
        <f t="shared" si="91"/>
        <v>#VALUE!</v>
      </c>
    </row>
    <row r="340" spans="3:34">
      <c r="C340" s="301" t="s">
        <v>1</v>
      </c>
      <c r="D340" s="302">
        <v>1</v>
      </c>
      <c r="E340" s="302">
        <f t="shared" ref="E340:AG340" si="92">D340+1</f>
        <v>2</v>
      </c>
      <c r="F340" s="302">
        <f t="shared" si="92"/>
        <v>3</v>
      </c>
      <c r="G340" s="302">
        <f t="shared" si="92"/>
        <v>4</v>
      </c>
      <c r="H340" s="302">
        <f t="shared" si="92"/>
        <v>5</v>
      </c>
      <c r="I340" s="302">
        <f t="shared" si="92"/>
        <v>6</v>
      </c>
      <c r="J340" s="302">
        <f t="shared" si="92"/>
        <v>7</v>
      </c>
      <c r="K340" s="302">
        <f t="shared" si="92"/>
        <v>8</v>
      </c>
      <c r="L340" s="302">
        <f t="shared" si="92"/>
        <v>9</v>
      </c>
      <c r="M340" s="302">
        <f t="shared" si="92"/>
        <v>10</v>
      </c>
      <c r="N340" s="302">
        <f t="shared" si="92"/>
        <v>11</v>
      </c>
      <c r="O340" s="302">
        <f t="shared" si="92"/>
        <v>12</v>
      </c>
      <c r="P340" s="302">
        <f t="shared" si="92"/>
        <v>13</v>
      </c>
      <c r="Q340" s="302">
        <f t="shared" si="92"/>
        <v>14</v>
      </c>
      <c r="R340" s="302">
        <f t="shared" si="92"/>
        <v>15</v>
      </c>
      <c r="S340" s="302">
        <f t="shared" si="92"/>
        <v>16</v>
      </c>
      <c r="T340" s="302">
        <f t="shared" si="92"/>
        <v>17</v>
      </c>
      <c r="U340" s="302">
        <f t="shared" si="92"/>
        <v>18</v>
      </c>
      <c r="V340" s="302">
        <f t="shared" si="92"/>
        <v>19</v>
      </c>
      <c r="W340" s="302">
        <f t="shared" si="92"/>
        <v>20</v>
      </c>
      <c r="X340" s="302">
        <f t="shared" si="92"/>
        <v>21</v>
      </c>
      <c r="Y340" s="302">
        <f t="shared" si="92"/>
        <v>22</v>
      </c>
      <c r="Z340" s="302">
        <f t="shared" si="92"/>
        <v>23</v>
      </c>
      <c r="AA340" s="302">
        <f t="shared" si="92"/>
        <v>24</v>
      </c>
      <c r="AB340" s="302">
        <f t="shared" si="92"/>
        <v>25</v>
      </c>
      <c r="AC340" s="302">
        <f t="shared" si="92"/>
        <v>26</v>
      </c>
      <c r="AD340" s="302">
        <f t="shared" si="92"/>
        <v>27</v>
      </c>
      <c r="AE340" s="302">
        <f t="shared" si="92"/>
        <v>28</v>
      </c>
      <c r="AF340" s="302">
        <f t="shared" si="92"/>
        <v>29</v>
      </c>
      <c r="AG340" s="302">
        <f t="shared" si="92"/>
        <v>30</v>
      </c>
    </row>
    <row r="341" spans="3:34">
      <c r="C341" s="304">
        <v>0</v>
      </c>
      <c r="AH341" s="341">
        <f ca="1">SUMIF($C$9:$AH$336,C341,$AH$9:$AH$336)</f>
        <v>0</v>
      </c>
    </row>
    <row r="342" spans="3:34">
      <c r="C342" s="307">
        <f t="shared" ref="C342:C371" si="93">1+C341</f>
        <v>1</v>
      </c>
      <c r="AH342" s="341">
        <f t="shared" ref="AH342:AH371" ca="1" si="94">SUMIF($C$9:$AH$336,C342,$AH$9:$AH$336)</f>
        <v>0</v>
      </c>
    </row>
    <row r="343" spans="3:34">
      <c r="C343" s="307">
        <f t="shared" si="93"/>
        <v>2</v>
      </c>
      <c r="AH343" s="341" t="e">
        <f t="shared" ca="1" si="94"/>
        <v>#VALUE!</v>
      </c>
    </row>
    <row r="344" spans="3:34">
      <c r="C344" s="307">
        <f t="shared" si="93"/>
        <v>3</v>
      </c>
      <c r="AH344" s="341" t="e">
        <f t="shared" ca="1" si="94"/>
        <v>#VALUE!</v>
      </c>
    </row>
    <row r="345" spans="3:34">
      <c r="C345" s="307">
        <f t="shared" si="93"/>
        <v>4</v>
      </c>
      <c r="AH345" s="341" t="e">
        <f t="shared" ca="1" si="94"/>
        <v>#VALUE!</v>
      </c>
    </row>
    <row r="346" spans="3:34">
      <c r="C346" s="307">
        <f t="shared" si="93"/>
        <v>5</v>
      </c>
      <c r="AH346" s="341" t="e">
        <f t="shared" ca="1" si="94"/>
        <v>#VALUE!</v>
      </c>
    </row>
    <row r="347" spans="3:34">
      <c r="C347" s="307">
        <f t="shared" si="93"/>
        <v>6</v>
      </c>
      <c r="AH347" s="341" t="e">
        <f t="shared" ca="1" si="94"/>
        <v>#VALUE!</v>
      </c>
    </row>
    <row r="348" spans="3:34">
      <c r="C348" s="307">
        <f t="shared" si="93"/>
        <v>7</v>
      </c>
      <c r="AH348" s="341" t="e">
        <f t="shared" ca="1" si="94"/>
        <v>#VALUE!</v>
      </c>
    </row>
    <row r="349" spans="3:34">
      <c r="C349" s="307">
        <f t="shared" si="93"/>
        <v>8</v>
      </c>
      <c r="AH349" s="341" t="e">
        <f t="shared" ca="1" si="94"/>
        <v>#VALUE!</v>
      </c>
    </row>
    <row r="350" spans="3:34">
      <c r="C350" s="307">
        <f t="shared" si="93"/>
        <v>9</v>
      </c>
      <c r="AH350" s="341" t="e">
        <f t="shared" ca="1" si="94"/>
        <v>#VALUE!</v>
      </c>
    </row>
    <row r="351" spans="3:34">
      <c r="C351" s="307">
        <f t="shared" si="93"/>
        <v>10</v>
      </c>
      <c r="AH351" s="341" t="e">
        <f t="shared" ca="1" si="94"/>
        <v>#VALUE!</v>
      </c>
    </row>
    <row r="352" spans="3:34">
      <c r="C352" s="307">
        <f t="shared" si="93"/>
        <v>11</v>
      </c>
      <c r="AH352" s="341" t="e">
        <f t="shared" ca="1" si="94"/>
        <v>#VALUE!</v>
      </c>
    </row>
    <row r="353" spans="3:34">
      <c r="C353" s="307">
        <f t="shared" si="93"/>
        <v>12</v>
      </c>
      <c r="AH353" s="341" t="e">
        <f t="shared" ca="1" si="94"/>
        <v>#VALUE!</v>
      </c>
    </row>
    <row r="354" spans="3:34">
      <c r="C354" s="307">
        <f t="shared" si="93"/>
        <v>13</v>
      </c>
      <c r="AH354" s="341" t="e">
        <f t="shared" ca="1" si="94"/>
        <v>#VALUE!</v>
      </c>
    </row>
    <row r="355" spans="3:34">
      <c r="C355" s="307">
        <f t="shared" si="93"/>
        <v>14</v>
      </c>
      <c r="AH355" s="341" t="e">
        <f t="shared" ca="1" si="94"/>
        <v>#VALUE!</v>
      </c>
    </row>
    <row r="356" spans="3:34">
      <c r="C356" s="307">
        <f t="shared" si="93"/>
        <v>15</v>
      </c>
      <c r="AH356" s="341" t="e">
        <f t="shared" ca="1" si="94"/>
        <v>#VALUE!</v>
      </c>
    </row>
    <row r="357" spans="3:34">
      <c r="C357" s="307">
        <f t="shared" si="93"/>
        <v>16</v>
      </c>
      <c r="AH357" s="341" t="e">
        <f t="shared" ca="1" si="94"/>
        <v>#VALUE!</v>
      </c>
    </row>
    <row r="358" spans="3:34">
      <c r="C358" s="307">
        <f t="shared" si="93"/>
        <v>17</v>
      </c>
      <c r="AH358" s="341" t="e">
        <f t="shared" ca="1" si="94"/>
        <v>#VALUE!</v>
      </c>
    </row>
    <row r="359" spans="3:34">
      <c r="C359" s="307">
        <f t="shared" si="93"/>
        <v>18</v>
      </c>
      <c r="AH359" s="341" t="e">
        <f t="shared" ca="1" si="94"/>
        <v>#VALUE!</v>
      </c>
    </row>
    <row r="360" spans="3:34">
      <c r="C360" s="307">
        <f t="shared" si="93"/>
        <v>19</v>
      </c>
      <c r="AH360" s="341" t="e">
        <f t="shared" ca="1" si="94"/>
        <v>#VALUE!</v>
      </c>
    </row>
    <row r="361" spans="3:34">
      <c r="C361" s="307">
        <f t="shared" si="93"/>
        <v>20</v>
      </c>
      <c r="AH361" s="341" t="e">
        <f t="shared" ca="1" si="94"/>
        <v>#VALUE!</v>
      </c>
    </row>
    <row r="362" spans="3:34">
      <c r="C362" s="307">
        <f t="shared" si="93"/>
        <v>21</v>
      </c>
      <c r="AH362" s="341" t="e">
        <f t="shared" ca="1" si="94"/>
        <v>#VALUE!</v>
      </c>
    </row>
    <row r="363" spans="3:34">
      <c r="C363" s="307">
        <f t="shared" si="93"/>
        <v>22</v>
      </c>
      <c r="AH363" s="341" t="e">
        <f t="shared" ca="1" si="94"/>
        <v>#VALUE!</v>
      </c>
    </row>
    <row r="364" spans="3:34">
      <c r="C364" s="307">
        <f t="shared" si="93"/>
        <v>23</v>
      </c>
      <c r="AH364" s="341" t="e">
        <f t="shared" ca="1" si="94"/>
        <v>#VALUE!</v>
      </c>
    </row>
    <row r="365" spans="3:34">
      <c r="C365" s="307">
        <f t="shared" si="93"/>
        <v>24</v>
      </c>
      <c r="AH365" s="341" t="e">
        <f t="shared" ca="1" si="94"/>
        <v>#VALUE!</v>
      </c>
    </row>
    <row r="366" spans="3:34">
      <c r="C366" s="307">
        <f t="shared" si="93"/>
        <v>25</v>
      </c>
      <c r="AH366" s="341" t="e">
        <f t="shared" ca="1" si="94"/>
        <v>#VALUE!</v>
      </c>
    </row>
    <row r="367" spans="3:34">
      <c r="C367" s="307">
        <f t="shared" si="93"/>
        <v>26</v>
      </c>
      <c r="AH367" s="341" t="e">
        <f t="shared" ca="1" si="94"/>
        <v>#VALUE!</v>
      </c>
    </row>
    <row r="368" spans="3:34">
      <c r="C368" s="307">
        <f t="shared" si="93"/>
        <v>27</v>
      </c>
      <c r="AH368" s="341" t="e">
        <f t="shared" ca="1" si="94"/>
        <v>#VALUE!</v>
      </c>
    </row>
    <row r="369" spans="3:34">
      <c r="C369" s="307">
        <f t="shared" si="93"/>
        <v>28</v>
      </c>
      <c r="AH369" s="341" t="e">
        <f t="shared" ca="1" si="94"/>
        <v>#VALUE!</v>
      </c>
    </row>
    <row r="370" spans="3:34">
      <c r="C370" s="307">
        <f t="shared" si="93"/>
        <v>29</v>
      </c>
      <c r="AH370" s="341" t="e">
        <f t="shared" ca="1" si="94"/>
        <v>#VALUE!</v>
      </c>
    </row>
    <row r="371" spans="3:34">
      <c r="C371" s="307">
        <f t="shared" si="93"/>
        <v>30</v>
      </c>
      <c r="AH371" s="341" t="e">
        <f t="shared" ca="1" si="94"/>
        <v>#VALUE!</v>
      </c>
    </row>
  </sheetData>
  <printOptions horizontalCentered="1"/>
  <pageMargins left="0.98425196850393704" right="0.59055118110236227" top="1.9685039370078741" bottom="1.0629921259842521" header="0.39370078740157483" footer="0.39370078740157483"/>
  <pageSetup paperSize="9" scale="13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D5E63-8C60-4A45-91BB-EE1BE9CD81C7}">
  <sheetPr codeName="Planilha37">
    <tabColor theme="0"/>
  </sheetPr>
  <dimension ref="A1:AJ49"/>
  <sheetViews>
    <sheetView showGridLines="0" zoomScale="85" zoomScaleNormal="85" workbookViewId="0">
      <selection activeCell="A38" sqref="A38:XFD42"/>
    </sheetView>
  </sheetViews>
  <sheetFormatPr defaultColWidth="11.5703125" defaultRowHeight="14.25"/>
  <cols>
    <col min="1" max="1" width="14.42578125" style="41" customWidth="1"/>
    <col min="2" max="2" width="62.140625" style="41" bestFit="1" customWidth="1"/>
    <col min="3" max="3" width="17.28515625" style="41" bestFit="1" customWidth="1"/>
    <col min="4" max="4" width="17.7109375" style="41" bestFit="1" customWidth="1"/>
    <col min="5" max="6" width="18.28515625" style="41" bestFit="1" customWidth="1"/>
    <col min="7" max="7" width="17.28515625" style="41" bestFit="1" customWidth="1"/>
    <col min="8" max="8" width="17.7109375" style="41" bestFit="1" customWidth="1"/>
    <col min="9" max="9" width="18.28515625" style="41" bestFit="1" customWidth="1"/>
    <col min="10" max="10" width="17.7109375" style="41" bestFit="1" customWidth="1"/>
    <col min="11" max="11" width="18.28515625" style="41" bestFit="1" customWidth="1"/>
    <col min="12" max="12" width="19.42578125" style="41" bestFit="1" customWidth="1"/>
    <col min="13" max="13" width="17.7109375" style="41" bestFit="1" customWidth="1"/>
    <col min="14" max="15" width="18.28515625" style="41" bestFit="1" customWidth="1"/>
    <col min="16" max="17" width="17.7109375" style="41" bestFit="1" customWidth="1"/>
    <col min="18" max="18" width="18.28515625" style="41" bestFit="1" customWidth="1"/>
    <col min="19" max="21" width="17.7109375" style="41" bestFit="1" customWidth="1"/>
    <col min="22" max="22" width="19.42578125" style="41" bestFit="1" customWidth="1"/>
    <col min="23" max="23" width="18.28515625" style="41" bestFit="1" customWidth="1"/>
    <col min="24" max="24" width="17.28515625" style="41" bestFit="1" customWidth="1"/>
    <col min="25" max="26" width="17.7109375" style="41" bestFit="1" customWidth="1"/>
    <col min="27" max="27" width="18.28515625" style="41" bestFit="1" customWidth="1"/>
    <col min="28" max="29" width="17.28515625" style="41" bestFit="1" customWidth="1"/>
    <col min="30" max="32" width="18.28515625" style="41" bestFit="1" customWidth="1"/>
    <col min="33" max="33" width="20" style="41" bestFit="1" customWidth="1"/>
    <col min="34" max="34" width="2.7109375" style="41" customWidth="1"/>
    <col min="35" max="35" width="21.28515625" style="41" customWidth="1"/>
    <col min="36" max="36" width="15" style="41" bestFit="1" customWidth="1"/>
    <col min="37" max="257" width="11.5703125" style="41"/>
    <col min="258" max="258" width="48" style="41" customWidth="1"/>
    <col min="259" max="261" width="9.7109375" style="41" customWidth="1"/>
    <col min="262" max="287" width="0" style="41" hidden="1" customWidth="1"/>
    <col min="288" max="288" width="9.7109375" style="41" customWidth="1"/>
    <col min="289" max="289" width="11.85546875" style="41" customWidth="1"/>
    <col min="290" max="513" width="11.5703125" style="41"/>
    <col min="514" max="514" width="48" style="41" customWidth="1"/>
    <col min="515" max="517" width="9.7109375" style="41" customWidth="1"/>
    <col min="518" max="543" width="0" style="41" hidden="1" customWidth="1"/>
    <col min="544" max="544" width="9.7109375" style="41" customWidth="1"/>
    <col min="545" max="545" width="11.85546875" style="41" customWidth="1"/>
    <col min="546" max="769" width="11.5703125" style="41"/>
    <col min="770" max="770" width="48" style="41" customWidth="1"/>
    <col min="771" max="773" width="9.7109375" style="41" customWidth="1"/>
    <col min="774" max="799" width="0" style="41" hidden="1" customWidth="1"/>
    <col min="800" max="800" width="9.7109375" style="41" customWidth="1"/>
    <col min="801" max="801" width="11.85546875" style="41" customWidth="1"/>
    <col min="802" max="1025" width="11.5703125" style="41"/>
    <col min="1026" max="1026" width="48" style="41" customWidth="1"/>
    <col min="1027" max="1029" width="9.7109375" style="41" customWidth="1"/>
    <col min="1030" max="1055" width="0" style="41" hidden="1" customWidth="1"/>
    <col min="1056" max="1056" width="9.7109375" style="41" customWidth="1"/>
    <col min="1057" max="1057" width="11.85546875" style="41" customWidth="1"/>
    <col min="1058" max="1281" width="11.5703125" style="41"/>
    <col min="1282" max="1282" width="48" style="41" customWidth="1"/>
    <col min="1283" max="1285" width="9.7109375" style="41" customWidth="1"/>
    <col min="1286" max="1311" width="0" style="41" hidden="1" customWidth="1"/>
    <col min="1312" max="1312" width="9.7109375" style="41" customWidth="1"/>
    <col min="1313" max="1313" width="11.85546875" style="41" customWidth="1"/>
    <col min="1314" max="1537" width="11.5703125" style="41"/>
    <col min="1538" max="1538" width="48" style="41" customWidth="1"/>
    <col min="1539" max="1541" width="9.7109375" style="41" customWidth="1"/>
    <col min="1542" max="1567" width="0" style="41" hidden="1" customWidth="1"/>
    <col min="1568" max="1568" width="9.7109375" style="41" customWidth="1"/>
    <col min="1569" max="1569" width="11.85546875" style="41" customWidth="1"/>
    <col min="1570" max="1793" width="11.5703125" style="41"/>
    <col min="1794" max="1794" width="48" style="41" customWidth="1"/>
    <col min="1795" max="1797" width="9.7109375" style="41" customWidth="1"/>
    <col min="1798" max="1823" width="0" style="41" hidden="1" customWidth="1"/>
    <col min="1824" max="1824" width="9.7109375" style="41" customWidth="1"/>
    <col min="1825" max="1825" width="11.85546875" style="41" customWidth="1"/>
    <col min="1826" max="2049" width="11.5703125" style="41"/>
    <col min="2050" max="2050" width="48" style="41" customWidth="1"/>
    <col min="2051" max="2053" width="9.7109375" style="41" customWidth="1"/>
    <col min="2054" max="2079" width="0" style="41" hidden="1" customWidth="1"/>
    <col min="2080" max="2080" width="9.7109375" style="41" customWidth="1"/>
    <col min="2081" max="2081" width="11.85546875" style="41" customWidth="1"/>
    <col min="2082" max="2305" width="11.5703125" style="41"/>
    <col min="2306" max="2306" width="48" style="41" customWidth="1"/>
    <col min="2307" max="2309" width="9.7109375" style="41" customWidth="1"/>
    <col min="2310" max="2335" width="0" style="41" hidden="1" customWidth="1"/>
    <col min="2336" max="2336" width="9.7109375" style="41" customWidth="1"/>
    <col min="2337" max="2337" width="11.85546875" style="41" customWidth="1"/>
    <col min="2338" max="2561" width="11.5703125" style="41"/>
    <col min="2562" max="2562" width="48" style="41" customWidth="1"/>
    <col min="2563" max="2565" width="9.7109375" style="41" customWidth="1"/>
    <col min="2566" max="2591" width="0" style="41" hidden="1" customWidth="1"/>
    <col min="2592" max="2592" width="9.7109375" style="41" customWidth="1"/>
    <col min="2593" max="2593" width="11.85546875" style="41" customWidth="1"/>
    <col min="2594" max="2817" width="11.5703125" style="41"/>
    <col min="2818" max="2818" width="48" style="41" customWidth="1"/>
    <col min="2819" max="2821" width="9.7109375" style="41" customWidth="1"/>
    <col min="2822" max="2847" width="0" style="41" hidden="1" customWidth="1"/>
    <col min="2848" max="2848" width="9.7109375" style="41" customWidth="1"/>
    <col min="2849" max="2849" width="11.85546875" style="41" customWidth="1"/>
    <col min="2850" max="3073" width="11.5703125" style="41"/>
    <col min="3074" max="3074" width="48" style="41" customWidth="1"/>
    <col min="3075" max="3077" width="9.7109375" style="41" customWidth="1"/>
    <col min="3078" max="3103" width="0" style="41" hidden="1" customWidth="1"/>
    <col min="3104" max="3104" width="9.7109375" style="41" customWidth="1"/>
    <col min="3105" max="3105" width="11.85546875" style="41" customWidth="1"/>
    <col min="3106" max="3329" width="11.5703125" style="41"/>
    <col min="3330" max="3330" width="48" style="41" customWidth="1"/>
    <col min="3331" max="3333" width="9.7109375" style="41" customWidth="1"/>
    <col min="3334" max="3359" width="0" style="41" hidden="1" customWidth="1"/>
    <col min="3360" max="3360" width="9.7109375" style="41" customWidth="1"/>
    <col min="3361" max="3361" width="11.85546875" style="41" customWidth="1"/>
    <col min="3362" max="3585" width="11.5703125" style="41"/>
    <col min="3586" max="3586" width="48" style="41" customWidth="1"/>
    <col min="3587" max="3589" width="9.7109375" style="41" customWidth="1"/>
    <col min="3590" max="3615" width="0" style="41" hidden="1" customWidth="1"/>
    <col min="3616" max="3616" width="9.7109375" style="41" customWidth="1"/>
    <col min="3617" max="3617" width="11.85546875" style="41" customWidth="1"/>
    <col min="3618" max="3841" width="11.5703125" style="41"/>
    <col min="3842" max="3842" width="48" style="41" customWidth="1"/>
    <col min="3843" max="3845" width="9.7109375" style="41" customWidth="1"/>
    <col min="3846" max="3871" width="0" style="41" hidden="1" customWidth="1"/>
    <col min="3872" max="3872" width="9.7109375" style="41" customWidth="1"/>
    <col min="3873" max="3873" width="11.85546875" style="41" customWidth="1"/>
    <col min="3874" max="4097" width="11.5703125" style="41"/>
    <col min="4098" max="4098" width="48" style="41" customWidth="1"/>
    <col min="4099" max="4101" width="9.7109375" style="41" customWidth="1"/>
    <col min="4102" max="4127" width="0" style="41" hidden="1" customWidth="1"/>
    <col min="4128" max="4128" width="9.7109375" style="41" customWidth="1"/>
    <col min="4129" max="4129" width="11.85546875" style="41" customWidth="1"/>
    <col min="4130" max="4353" width="11.5703125" style="41"/>
    <col min="4354" max="4354" width="48" style="41" customWidth="1"/>
    <col min="4355" max="4357" width="9.7109375" style="41" customWidth="1"/>
    <col min="4358" max="4383" width="0" style="41" hidden="1" customWidth="1"/>
    <col min="4384" max="4384" width="9.7109375" style="41" customWidth="1"/>
    <col min="4385" max="4385" width="11.85546875" style="41" customWidth="1"/>
    <col min="4386" max="4609" width="11.5703125" style="41"/>
    <col min="4610" max="4610" width="48" style="41" customWidth="1"/>
    <col min="4611" max="4613" width="9.7109375" style="41" customWidth="1"/>
    <col min="4614" max="4639" width="0" style="41" hidden="1" customWidth="1"/>
    <col min="4640" max="4640" width="9.7109375" style="41" customWidth="1"/>
    <col min="4641" max="4641" width="11.85546875" style="41" customWidth="1"/>
    <col min="4642" max="4865" width="11.5703125" style="41"/>
    <col min="4866" max="4866" width="48" style="41" customWidth="1"/>
    <col min="4867" max="4869" width="9.7109375" style="41" customWidth="1"/>
    <col min="4870" max="4895" width="0" style="41" hidden="1" customWidth="1"/>
    <col min="4896" max="4896" width="9.7109375" style="41" customWidth="1"/>
    <col min="4897" max="4897" width="11.85546875" style="41" customWidth="1"/>
    <col min="4898" max="5121" width="11.5703125" style="41"/>
    <col min="5122" max="5122" width="48" style="41" customWidth="1"/>
    <col min="5123" max="5125" width="9.7109375" style="41" customWidth="1"/>
    <col min="5126" max="5151" width="0" style="41" hidden="1" customWidth="1"/>
    <col min="5152" max="5152" width="9.7109375" style="41" customWidth="1"/>
    <col min="5153" max="5153" width="11.85546875" style="41" customWidth="1"/>
    <col min="5154" max="5377" width="11.5703125" style="41"/>
    <col min="5378" max="5378" width="48" style="41" customWidth="1"/>
    <col min="5379" max="5381" width="9.7109375" style="41" customWidth="1"/>
    <col min="5382" max="5407" width="0" style="41" hidden="1" customWidth="1"/>
    <col min="5408" max="5408" width="9.7109375" style="41" customWidth="1"/>
    <col min="5409" max="5409" width="11.85546875" style="41" customWidth="1"/>
    <col min="5410" max="5633" width="11.5703125" style="41"/>
    <col min="5634" max="5634" width="48" style="41" customWidth="1"/>
    <col min="5635" max="5637" width="9.7109375" style="41" customWidth="1"/>
    <col min="5638" max="5663" width="0" style="41" hidden="1" customWidth="1"/>
    <col min="5664" max="5664" width="9.7109375" style="41" customWidth="1"/>
    <col min="5665" max="5665" width="11.85546875" style="41" customWidth="1"/>
    <col min="5666" max="5889" width="11.5703125" style="41"/>
    <col min="5890" max="5890" width="48" style="41" customWidth="1"/>
    <col min="5891" max="5893" width="9.7109375" style="41" customWidth="1"/>
    <col min="5894" max="5919" width="0" style="41" hidden="1" customWidth="1"/>
    <col min="5920" max="5920" width="9.7109375" style="41" customWidth="1"/>
    <col min="5921" max="5921" width="11.85546875" style="41" customWidth="1"/>
    <col min="5922" max="6145" width="11.5703125" style="41"/>
    <col min="6146" max="6146" width="48" style="41" customWidth="1"/>
    <col min="6147" max="6149" width="9.7109375" style="41" customWidth="1"/>
    <col min="6150" max="6175" width="0" style="41" hidden="1" customWidth="1"/>
    <col min="6176" max="6176" width="9.7109375" style="41" customWidth="1"/>
    <col min="6177" max="6177" width="11.85546875" style="41" customWidth="1"/>
    <col min="6178" max="6401" width="11.5703125" style="41"/>
    <col min="6402" max="6402" width="48" style="41" customWidth="1"/>
    <col min="6403" max="6405" width="9.7109375" style="41" customWidth="1"/>
    <col min="6406" max="6431" width="0" style="41" hidden="1" customWidth="1"/>
    <col min="6432" max="6432" width="9.7109375" style="41" customWidth="1"/>
    <col min="6433" max="6433" width="11.85546875" style="41" customWidth="1"/>
    <col min="6434" max="6657" width="11.5703125" style="41"/>
    <col min="6658" max="6658" width="48" style="41" customWidth="1"/>
    <col min="6659" max="6661" width="9.7109375" style="41" customWidth="1"/>
    <col min="6662" max="6687" width="0" style="41" hidden="1" customWidth="1"/>
    <col min="6688" max="6688" width="9.7109375" style="41" customWidth="1"/>
    <col min="6689" max="6689" width="11.85546875" style="41" customWidth="1"/>
    <col min="6690" max="6913" width="11.5703125" style="41"/>
    <col min="6914" max="6914" width="48" style="41" customWidth="1"/>
    <col min="6915" max="6917" width="9.7109375" style="41" customWidth="1"/>
    <col min="6918" max="6943" width="0" style="41" hidden="1" customWidth="1"/>
    <col min="6944" max="6944" width="9.7109375" style="41" customWidth="1"/>
    <col min="6945" max="6945" width="11.85546875" style="41" customWidth="1"/>
    <col min="6946" max="7169" width="11.5703125" style="41"/>
    <col min="7170" max="7170" width="48" style="41" customWidth="1"/>
    <col min="7171" max="7173" width="9.7109375" style="41" customWidth="1"/>
    <col min="7174" max="7199" width="0" style="41" hidden="1" customWidth="1"/>
    <col min="7200" max="7200" width="9.7109375" style="41" customWidth="1"/>
    <col min="7201" max="7201" width="11.85546875" style="41" customWidth="1"/>
    <col min="7202" max="7425" width="11.5703125" style="41"/>
    <col min="7426" max="7426" width="48" style="41" customWidth="1"/>
    <col min="7427" max="7429" width="9.7109375" style="41" customWidth="1"/>
    <col min="7430" max="7455" width="0" style="41" hidden="1" customWidth="1"/>
    <col min="7456" max="7456" width="9.7109375" style="41" customWidth="1"/>
    <col min="7457" max="7457" width="11.85546875" style="41" customWidth="1"/>
    <col min="7458" max="7681" width="11.5703125" style="41"/>
    <col min="7682" max="7682" width="48" style="41" customWidth="1"/>
    <col min="7683" max="7685" width="9.7109375" style="41" customWidth="1"/>
    <col min="7686" max="7711" width="0" style="41" hidden="1" customWidth="1"/>
    <col min="7712" max="7712" width="9.7109375" style="41" customWidth="1"/>
    <col min="7713" max="7713" width="11.85546875" style="41" customWidth="1"/>
    <col min="7714" max="7937" width="11.5703125" style="41"/>
    <col min="7938" max="7938" width="48" style="41" customWidth="1"/>
    <col min="7939" max="7941" width="9.7109375" style="41" customWidth="1"/>
    <col min="7942" max="7967" width="0" style="41" hidden="1" customWidth="1"/>
    <col min="7968" max="7968" width="9.7109375" style="41" customWidth="1"/>
    <col min="7969" max="7969" width="11.85546875" style="41" customWidth="1"/>
    <col min="7970" max="8193" width="11.5703125" style="41"/>
    <col min="8194" max="8194" width="48" style="41" customWidth="1"/>
    <col min="8195" max="8197" width="9.7109375" style="41" customWidth="1"/>
    <col min="8198" max="8223" width="0" style="41" hidden="1" customWidth="1"/>
    <col min="8224" max="8224" width="9.7109375" style="41" customWidth="1"/>
    <col min="8225" max="8225" width="11.85546875" style="41" customWidth="1"/>
    <col min="8226" max="8449" width="11.5703125" style="41"/>
    <col min="8450" max="8450" width="48" style="41" customWidth="1"/>
    <col min="8451" max="8453" width="9.7109375" style="41" customWidth="1"/>
    <col min="8454" max="8479" width="0" style="41" hidden="1" customWidth="1"/>
    <col min="8480" max="8480" width="9.7109375" style="41" customWidth="1"/>
    <col min="8481" max="8481" width="11.85546875" style="41" customWidth="1"/>
    <col min="8482" max="8705" width="11.5703125" style="41"/>
    <col min="8706" max="8706" width="48" style="41" customWidth="1"/>
    <col min="8707" max="8709" width="9.7109375" style="41" customWidth="1"/>
    <col min="8710" max="8735" width="0" style="41" hidden="1" customWidth="1"/>
    <col min="8736" max="8736" width="9.7109375" style="41" customWidth="1"/>
    <col min="8737" max="8737" width="11.85546875" style="41" customWidth="1"/>
    <col min="8738" max="8961" width="11.5703125" style="41"/>
    <col min="8962" max="8962" width="48" style="41" customWidth="1"/>
    <col min="8963" max="8965" width="9.7109375" style="41" customWidth="1"/>
    <col min="8966" max="8991" width="0" style="41" hidden="1" customWidth="1"/>
    <col min="8992" max="8992" width="9.7109375" style="41" customWidth="1"/>
    <col min="8993" max="8993" width="11.85546875" style="41" customWidth="1"/>
    <col min="8994" max="9217" width="11.5703125" style="41"/>
    <col min="9218" max="9218" width="48" style="41" customWidth="1"/>
    <col min="9219" max="9221" width="9.7109375" style="41" customWidth="1"/>
    <col min="9222" max="9247" width="0" style="41" hidden="1" customWidth="1"/>
    <col min="9248" max="9248" width="9.7109375" style="41" customWidth="1"/>
    <col min="9249" max="9249" width="11.85546875" style="41" customWidth="1"/>
    <col min="9250" max="9473" width="11.5703125" style="41"/>
    <col min="9474" max="9474" width="48" style="41" customWidth="1"/>
    <col min="9475" max="9477" width="9.7109375" style="41" customWidth="1"/>
    <col min="9478" max="9503" width="0" style="41" hidden="1" customWidth="1"/>
    <col min="9504" max="9504" width="9.7109375" style="41" customWidth="1"/>
    <col min="9505" max="9505" width="11.85546875" style="41" customWidth="1"/>
    <col min="9506" max="9729" width="11.5703125" style="41"/>
    <col min="9730" max="9730" width="48" style="41" customWidth="1"/>
    <col min="9731" max="9733" width="9.7109375" style="41" customWidth="1"/>
    <col min="9734" max="9759" width="0" style="41" hidden="1" customWidth="1"/>
    <col min="9760" max="9760" width="9.7109375" style="41" customWidth="1"/>
    <col min="9761" max="9761" width="11.85546875" style="41" customWidth="1"/>
    <col min="9762" max="9985" width="11.5703125" style="41"/>
    <col min="9986" max="9986" width="48" style="41" customWidth="1"/>
    <col min="9987" max="9989" width="9.7109375" style="41" customWidth="1"/>
    <col min="9990" max="10015" width="0" style="41" hidden="1" customWidth="1"/>
    <col min="10016" max="10016" width="9.7109375" style="41" customWidth="1"/>
    <col min="10017" max="10017" width="11.85546875" style="41" customWidth="1"/>
    <col min="10018" max="10241" width="11.5703125" style="41"/>
    <col min="10242" max="10242" width="48" style="41" customWidth="1"/>
    <col min="10243" max="10245" width="9.7109375" style="41" customWidth="1"/>
    <col min="10246" max="10271" width="0" style="41" hidden="1" customWidth="1"/>
    <col min="10272" max="10272" width="9.7109375" style="41" customWidth="1"/>
    <col min="10273" max="10273" width="11.85546875" style="41" customWidth="1"/>
    <col min="10274" max="10497" width="11.5703125" style="41"/>
    <col min="10498" max="10498" width="48" style="41" customWidth="1"/>
    <col min="10499" max="10501" width="9.7109375" style="41" customWidth="1"/>
    <col min="10502" max="10527" width="0" style="41" hidden="1" customWidth="1"/>
    <col min="10528" max="10528" width="9.7109375" style="41" customWidth="1"/>
    <col min="10529" max="10529" width="11.85546875" style="41" customWidth="1"/>
    <col min="10530" max="10753" width="11.5703125" style="41"/>
    <col min="10754" max="10754" width="48" style="41" customWidth="1"/>
    <col min="10755" max="10757" width="9.7109375" style="41" customWidth="1"/>
    <col min="10758" max="10783" width="0" style="41" hidden="1" customWidth="1"/>
    <col min="10784" max="10784" width="9.7109375" style="41" customWidth="1"/>
    <col min="10785" max="10785" width="11.85546875" style="41" customWidth="1"/>
    <col min="10786" max="11009" width="11.5703125" style="41"/>
    <col min="11010" max="11010" width="48" style="41" customWidth="1"/>
    <col min="11011" max="11013" width="9.7109375" style="41" customWidth="1"/>
    <col min="11014" max="11039" width="0" style="41" hidden="1" customWidth="1"/>
    <col min="11040" max="11040" width="9.7109375" style="41" customWidth="1"/>
    <col min="11041" max="11041" width="11.85546875" style="41" customWidth="1"/>
    <col min="11042" max="11265" width="11.5703125" style="41"/>
    <col min="11266" max="11266" width="48" style="41" customWidth="1"/>
    <col min="11267" max="11269" width="9.7109375" style="41" customWidth="1"/>
    <col min="11270" max="11295" width="0" style="41" hidden="1" customWidth="1"/>
    <col min="11296" max="11296" width="9.7109375" style="41" customWidth="1"/>
    <col min="11297" max="11297" width="11.85546875" style="41" customWidth="1"/>
    <col min="11298" max="11521" width="11.5703125" style="41"/>
    <col min="11522" max="11522" width="48" style="41" customWidth="1"/>
    <col min="11523" max="11525" width="9.7109375" style="41" customWidth="1"/>
    <col min="11526" max="11551" width="0" style="41" hidden="1" customWidth="1"/>
    <col min="11552" max="11552" width="9.7109375" style="41" customWidth="1"/>
    <col min="11553" max="11553" width="11.85546875" style="41" customWidth="1"/>
    <col min="11554" max="11777" width="11.5703125" style="41"/>
    <col min="11778" max="11778" width="48" style="41" customWidth="1"/>
    <col min="11779" max="11781" width="9.7109375" style="41" customWidth="1"/>
    <col min="11782" max="11807" width="0" style="41" hidden="1" customWidth="1"/>
    <col min="11808" max="11808" width="9.7109375" style="41" customWidth="1"/>
    <col min="11809" max="11809" width="11.85546875" style="41" customWidth="1"/>
    <col min="11810" max="12033" width="11.5703125" style="41"/>
    <col min="12034" max="12034" width="48" style="41" customWidth="1"/>
    <col min="12035" max="12037" width="9.7109375" style="41" customWidth="1"/>
    <col min="12038" max="12063" width="0" style="41" hidden="1" customWidth="1"/>
    <col min="12064" max="12064" width="9.7109375" style="41" customWidth="1"/>
    <col min="12065" max="12065" width="11.85546875" style="41" customWidth="1"/>
    <col min="12066" max="12289" width="11.5703125" style="41"/>
    <col min="12290" max="12290" width="48" style="41" customWidth="1"/>
    <col min="12291" max="12293" width="9.7109375" style="41" customWidth="1"/>
    <col min="12294" max="12319" width="0" style="41" hidden="1" customWidth="1"/>
    <col min="12320" max="12320" width="9.7109375" style="41" customWidth="1"/>
    <col min="12321" max="12321" width="11.85546875" style="41" customWidth="1"/>
    <col min="12322" max="12545" width="11.5703125" style="41"/>
    <col min="12546" max="12546" width="48" style="41" customWidth="1"/>
    <col min="12547" max="12549" width="9.7109375" style="41" customWidth="1"/>
    <col min="12550" max="12575" width="0" style="41" hidden="1" customWidth="1"/>
    <col min="12576" max="12576" width="9.7109375" style="41" customWidth="1"/>
    <col min="12577" max="12577" width="11.85546875" style="41" customWidth="1"/>
    <col min="12578" max="12801" width="11.5703125" style="41"/>
    <col min="12802" max="12802" width="48" style="41" customWidth="1"/>
    <col min="12803" max="12805" width="9.7109375" style="41" customWidth="1"/>
    <col min="12806" max="12831" width="0" style="41" hidden="1" customWidth="1"/>
    <col min="12832" max="12832" width="9.7109375" style="41" customWidth="1"/>
    <col min="12833" max="12833" width="11.85546875" style="41" customWidth="1"/>
    <col min="12834" max="13057" width="11.5703125" style="41"/>
    <col min="13058" max="13058" width="48" style="41" customWidth="1"/>
    <col min="13059" max="13061" width="9.7109375" style="41" customWidth="1"/>
    <col min="13062" max="13087" width="0" style="41" hidden="1" customWidth="1"/>
    <col min="13088" max="13088" width="9.7109375" style="41" customWidth="1"/>
    <col min="13089" max="13089" width="11.85546875" style="41" customWidth="1"/>
    <col min="13090" max="13313" width="11.5703125" style="41"/>
    <col min="13314" max="13314" width="48" style="41" customWidth="1"/>
    <col min="13315" max="13317" width="9.7109375" style="41" customWidth="1"/>
    <col min="13318" max="13343" width="0" style="41" hidden="1" customWidth="1"/>
    <col min="13344" max="13344" width="9.7109375" style="41" customWidth="1"/>
    <col min="13345" max="13345" width="11.85546875" style="41" customWidth="1"/>
    <col min="13346" max="13569" width="11.5703125" style="41"/>
    <col min="13570" max="13570" width="48" style="41" customWidth="1"/>
    <col min="13571" max="13573" width="9.7109375" style="41" customWidth="1"/>
    <col min="13574" max="13599" width="0" style="41" hidden="1" customWidth="1"/>
    <col min="13600" max="13600" width="9.7109375" style="41" customWidth="1"/>
    <col min="13601" max="13601" width="11.85546875" style="41" customWidth="1"/>
    <col min="13602" max="13825" width="11.5703125" style="41"/>
    <col min="13826" max="13826" width="48" style="41" customWidth="1"/>
    <col min="13827" max="13829" width="9.7109375" style="41" customWidth="1"/>
    <col min="13830" max="13855" width="0" style="41" hidden="1" customWidth="1"/>
    <col min="13856" max="13856" width="9.7109375" style="41" customWidth="1"/>
    <col min="13857" max="13857" width="11.85546875" style="41" customWidth="1"/>
    <col min="13858" max="14081" width="11.5703125" style="41"/>
    <col min="14082" max="14082" width="48" style="41" customWidth="1"/>
    <col min="14083" max="14085" width="9.7109375" style="41" customWidth="1"/>
    <col min="14086" max="14111" width="0" style="41" hidden="1" customWidth="1"/>
    <col min="14112" max="14112" width="9.7109375" style="41" customWidth="1"/>
    <col min="14113" max="14113" width="11.85546875" style="41" customWidth="1"/>
    <col min="14114" max="14337" width="11.5703125" style="41"/>
    <col min="14338" max="14338" width="48" style="41" customWidth="1"/>
    <col min="14339" max="14341" width="9.7109375" style="41" customWidth="1"/>
    <col min="14342" max="14367" width="0" style="41" hidden="1" customWidth="1"/>
    <col min="14368" max="14368" width="9.7109375" style="41" customWidth="1"/>
    <col min="14369" max="14369" width="11.85546875" style="41" customWidth="1"/>
    <col min="14370" max="14593" width="11.5703125" style="41"/>
    <col min="14594" max="14594" width="48" style="41" customWidth="1"/>
    <col min="14595" max="14597" width="9.7109375" style="41" customWidth="1"/>
    <col min="14598" max="14623" width="0" style="41" hidden="1" customWidth="1"/>
    <col min="14624" max="14624" width="9.7109375" style="41" customWidth="1"/>
    <col min="14625" max="14625" width="11.85546875" style="41" customWidth="1"/>
    <col min="14626" max="14849" width="11.5703125" style="41"/>
    <col min="14850" max="14850" width="48" style="41" customWidth="1"/>
    <col min="14851" max="14853" width="9.7109375" style="41" customWidth="1"/>
    <col min="14854" max="14879" width="0" style="41" hidden="1" customWidth="1"/>
    <col min="14880" max="14880" width="9.7109375" style="41" customWidth="1"/>
    <col min="14881" max="14881" width="11.85546875" style="41" customWidth="1"/>
    <col min="14882" max="15105" width="11.5703125" style="41"/>
    <col min="15106" max="15106" width="48" style="41" customWidth="1"/>
    <col min="15107" max="15109" width="9.7109375" style="41" customWidth="1"/>
    <col min="15110" max="15135" width="0" style="41" hidden="1" customWidth="1"/>
    <col min="15136" max="15136" width="9.7109375" style="41" customWidth="1"/>
    <col min="15137" max="15137" width="11.85546875" style="41" customWidth="1"/>
    <col min="15138" max="15361" width="11.5703125" style="41"/>
    <col min="15362" max="15362" width="48" style="41" customWidth="1"/>
    <col min="15363" max="15365" width="9.7109375" style="41" customWidth="1"/>
    <col min="15366" max="15391" width="0" style="41" hidden="1" customWidth="1"/>
    <col min="15392" max="15392" width="9.7109375" style="41" customWidth="1"/>
    <col min="15393" max="15393" width="11.85546875" style="41" customWidth="1"/>
    <col min="15394" max="15617" width="11.5703125" style="41"/>
    <col min="15618" max="15618" width="48" style="41" customWidth="1"/>
    <col min="15619" max="15621" width="9.7109375" style="41" customWidth="1"/>
    <col min="15622" max="15647" width="0" style="41" hidden="1" customWidth="1"/>
    <col min="15648" max="15648" width="9.7109375" style="41" customWidth="1"/>
    <col min="15649" max="15649" width="11.85546875" style="41" customWidth="1"/>
    <col min="15650" max="15873" width="11.5703125" style="41"/>
    <col min="15874" max="15874" width="48" style="41" customWidth="1"/>
    <col min="15875" max="15877" width="9.7109375" style="41" customWidth="1"/>
    <col min="15878" max="15903" width="0" style="41" hidden="1" customWidth="1"/>
    <col min="15904" max="15904" width="9.7109375" style="41" customWidth="1"/>
    <col min="15905" max="15905" width="11.85546875" style="41" customWidth="1"/>
    <col min="15906" max="16129" width="11.5703125" style="41"/>
    <col min="16130" max="16130" width="48" style="41" customWidth="1"/>
    <col min="16131" max="16133" width="9.7109375" style="41" customWidth="1"/>
    <col min="16134" max="16159" width="0" style="41" hidden="1" customWidth="1"/>
    <col min="16160" max="16160" width="9.7109375" style="41" customWidth="1"/>
    <col min="16161" max="16161" width="11.85546875" style="41" customWidth="1"/>
    <col min="16162" max="16384" width="11.5703125" style="41"/>
  </cols>
  <sheetData>
    <row r="1" spans="1:36" ht="27" customHeight="1">
      <c r="B1" s="359" t="s">
        <v>573</v>
      </c>
      <c r="C1" s="89"/>
      <c r="D1" s="359"/>
      <c r="E1" s="359"/>
      <c r="F1" s="89"/>
      <c r="G1" s="89"/>
      <c r="H1" s="89"/>
      <c r="I1" s="89"/>
      <c r="J1" s="89"/>
      <c r="K1" s="89"/>
      <c r="L1" s="89"/>
      <c r="M1" s="89"/>
      <c r="O1" s="109"/>
      <c r="P1" s="109"/>
      <c r="Q1" s="109"/>
      <c r="R1" s="89"/>
      <c r="S1" s="89"/>
      <c r="T1" s="89"/>
      <c r="U1" s="89"/>
      <c r="V1" s="89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</row>
    <row r="2" spans="1:36" ht="16.149999999999999" customHeight="1" thickBot="1">
      <c r="G2" s="467"/>
      <c r="L2" s="467" t="s">
        <v>264</v>
      </c>
      <c r="Q2" s="467"/>
      <c r="V2" s="467" t="s">
        <v>264</v>
      </c>
      <c r="AG2" s="467" t="s">
        <v>264</v>
      </c>
    </row>
    <row r="3" spans="1:36" ht="30" customHeight="1">
      <c r="B3" s="415" t="s">
        <v>172</v>
      </c>
      <c r="C3" s="877" t="s">
        <v>173</v>
      </c>
      <c r="D3" s="877" t="s">
        <v>174</v>
      </c>
      <c r="E3" s="877" t="s">
        <v>259</v>
      </c>
      <c r="F3" s="877" t="s">
        <v>175</v>
      </c>
      <c r="G3" s="960" t="s">
        <v>176</v>
      </c>
      <c r="H3" s="960" t="s">
        <v>177</v>
      </c>
      <c r="I3" s="960" t="s">
        <v>178</v>
      </c>
      <c r="J3" s="960" t="s">
        <v>179</v>
      </c>
      <c r="K3" s="960" t="s">
        <v>180</v>
      </c>
      <c r="L3" s="960" t="s">
        <v>181</v>
      </c>
      <c r="M3" s="960" t="s">
        <v>182</v>
      </c>
      <c r="N3" s="960" t="s">
        <v>183</v>
      </c>
      <c r="O3" s="960" t="s">
        <v>184</v>
      </c>
      <c r="P3" s="960" t="s">
        <v>185</v>
      </c>
      <c r="Q3" s="960" t="s">
        <v>186</v>
      </c>
      <c r="R3" s="960" t="s">
        <v>187</v>
      </c>
      <c r="S3" s="960" t="s">
        <v>188</v>
      </c>
      <c r="T3" s="960" t="s">
        <v>189</v>
      </c>
      <c r="U3" s="960" t="s">
        <v>190</v>
      </c>
      <c r="V3" s="960" t="s">
        <v>191</v>
      </c>
      <c r="W3" s="960" t="s">
        <v>192</v>
      </c>
      <c r="X3" s="960" t="s">
        <v>193</v>
      </c>
      <c r="Y3" s="960" t="s">
        <v>194</v>
      </c>
      <c r="Z3" s="960" t="s">
        <v>195</v>
      </c>
      <c r="AA3" s="960" t="s">
        <v>196</v>
      </c>
      <c r="AB3" s="960" t="s">
        <v>197</v>
      </c>
      <c r="AC3" s="960" t="s">
        <v>198</v>
      </c>
      <c r="AD3" s="960" t="s">
        <v>199</v>
      </c>
      <c r="AE3" s="960" t="s">
        <v>200</v>
      </c>
      <c r="AF3" s="960" t="s">
        <v>201</v>
      </c>
      <c r="AG3" s="961" t="s">
        <v>0</v>
      </c>
    </row>
    <row r="4" spans="1:36" s="89" customFormat="1" ht="20.25" customHeight="1">
      <c r="A4" s="1112"/>
      <c r="B4" s="1113" t="s">
        <v>202</v>
      </c>
      <c r="C4" s="1124">
        <f>SUM(C5:C7)</f>
        <v>2302818.334183454</v>
      </c>
      <c r="D4" s="1124">
        <f t="shared" ref="D4:AF4" si="0">SUM(D5:D7)</f>
        <v>2589085.4613156808</v>
      </c>
      <c r="E4" s="1124">
        <f t="shared" si="0"/>
        <v>2818858.1047381544</v>
      </c>
      <c r="F4" s="1124">
        <f t="shared" si="0"/>
        <v>2920406.9946195232</v>
      </c>
      <c r="G4" s="962">
        <f t="shared" si="0"/>
        <v>2997193.0318223308</v>
      </c>
      <c r="H4" s="962">
        <f t="shared" si="0"/>
        <v>3337701.3218688015</v>
      </c>
      <c r="I4" s="962">
        <f t="shared" si="0"/>
        <v>3754425.2392501896</v>
      </c>
      <c r="J4" s="962">
        <f t="shared" si="0"/>
        <v>4064222.9161874908</v>
      </c>
      <c r="K4" s="962">
        <f t="shared" si="0"/>
        <v>4086433.9881801065</v>
      </c>
      <c r="L4" s="962">
        <f t="shared" si="0"/>
        <v>4263700.8666541139</v>
      </c>
      <c r="M4" s="962">
        <f t="shared" si="0"/>
        <v>4460340.6598898321</v>
      </c>
      <c r="N4" s="962">
        <f t="shared" si="0"/>
        <v>4760710.5303800935</v>
      </c>
      <c r="O4" s="962">
        <f t="shared" si="0"/>
        <v>4767563.7605101988</v>
      </c>
      <c r="P4" s="962">
        <f t="shared" si="0"/>
        <v>4774416.9906403041</v>
      </c>
      <c r="Q4" s="962">
        <f t="shared" si="0"/>
        <v>4781270.2207704112</v>
      </c>
      <c r="R4" s="962">
        <f t="shared" si="0"/>
        <v>4787552.348389673</v>
      </c>
      <c r="S4" s="962">
        <f t="shared" si="0"/>
        <v>4793263.3734980952</v>
      </c>
      <c r="T4" s="962">
        <f t="shared" si="0"/>
        <v>4798974.3986065155</v>
      </c>
      <c r="U4" s="962">
        <f t="shared" si="0"/>
        <v>4804685.4237149358</v>
      </c>
      <c r="V4" s="962">
        <f t="shared" si="0"/>
        <v>4809825.3463125164</v>
      </c>
      <c r="W4" s="962">
        <f t="shared" si="0"/>
        <v>4816107.4739317819</v>
      </c>
      <c r="X4" s="962">
        <f t="shared" si="0"/>
        <v>4822389.6015510447</v>
      </c>
      <c r="Y4" s="962">
        <f t="shared" si="0"/>
        <v>4826958.4216377819</v>
      </c>
      <c r="Z4" s="962">
        <f t="shared" si="0"/>
        <v>4831527.2417245191</v>
      </c>
      <c r="AA4" s="962">
        <f t="shared" si="0"/>
        <v>4836096.0618112553</v>
      </c>
      <c r="AB4" s="962">
        <f t="shared" si="0"/>
        <v>4841807.0869196784</v>
      </c>
      <c r="AC4" s="962">
        <f t="shared" si="0"/>
        <v>4847518.1120280977</v>
      </c>
      <c r="AD4" s="962">
        <f t="shared" si="0"/>
        <v>4852658.0346256765</v>
      </c>
      <c r="AE4" s="962">
        <f t="shared" si="0"/>
        <v>4858369.0597340995</v>
      </c>
      <c r="AF4" s="962">
        <f t="shared" si="0"/>
        <v>4862366.7773099951</v>
      </c>
      <c r="AG4" s="963">
        <f t="shared" ref="AG4:AG12" si="1">SUM(C4:AF4)</f>
        <v>129069247.18280636</v>
      </c>
    </row>
    <row r="5" spans="1:36" ht="20.25" customHeight="1">
      <c r="A5" s="1127"/>
      <c r="B5" s="1128" t="s">
        <v>203</v>
      </c>
      <c r="C5" s="1125">
        <f>'TS - 14 R1 FAT 2'!E5</f>
        <v>1523597.081238748</v>
      </c>
      <c r="D5" s="1125">
        <f>'TS - 14 R1 FAT 2'!E6</f>
        <v>1700315.1510136535</v>
      </c>
      <c r="E5" s="1125">
        <f>'TS - 14 R1 FAT 2'!E7</f>
        <v>1854061.9660526102</v>
      </c>
      <c r="F5" s="1125">
        <f>'TS - 14 R1 FAT 2'!E8</f>
        <v>1912815.2651806301</v>
      </c>
      <c r="G5" s="1110">
        <f>'TS - 14 R1 FAT 2'!E9</f>
        <v>1980000</v>
      </c>
      <c r="H5" s="964">
        <f>'TS - 14 R1 FAT 2'!E10</f>
        <v>2070845.8105409152</v>
      </c>
      <c r="I5" s="964">
        <f>'TS - 14 R1 FAT 2'!E11</f>
        <v>2183065.5968572488</v>
      </c>
      <c r="J5" s="964">
        <f>'TS - 14 R1 FAT 2'!E12</f>
        <v>2301330.2946628211</v>
      </c>
      <c r="K5" s="964">
        <f>'TS - 14 R1 FAT 2'!E13</f>
        <v>2248945.5154108708</v>
      </c>
      <c r="L5" s="964">
        <f>'TS - 14 R1 FAT 2'!E14</f>
        <v>2325650.2928705099</v>
      </c>
      <c r="M5" s="964">
        <f>'TS - 14 R1 FAT 2'!E15</f>
        <v>2325094.0440756301</v>
      </c>
      <c r="N5" s="964">
        <f>'TS - 14 R1 FAT 2'!E16</f>
        <v>2328445.9336153842</v>
      </c>
      <c r="O5" s="964">
        <f>'TS - 14 R1 FAT 2'!E17</f>
        <v>2331797.8231551368</v>
      </c>
      <c r="P5" s="964">
        <f>'TS - 14 R1 FAT 2'!E18</f>
        <v>2335149.7126948903</v>
      </c>
      <c r="Q5" s="964">
        <f>'TS - 14 R1 FAT 2'!E19</f>
        <v>2338501.6022346443</v>
      </c>
      <c r="R5" s="964">
        <f>'TS - 14 R1 FAT 2'!E20</f>
        <v>2341574.167646084</v>
      </c>
      <c r="S5" s="964">
        <f>'TS - 14 R1 FAT 2'!E21</f>
        <v>2344367.4089292125</v>
      </c>
      <c r="T5" s="964">
        <f>'TS - 14 R1 FAT 2'!E22</f>
        <v>2347160.6502123401</v>
      </c>
      <c r="U5" s="964">
        <f>'TS - 14 R1 FAT 2'!E23</f>
        <v>2349953.8914954672</v>
      </c>
      <c r="V5" s="964">
        <f>'TS - 14 R1 FAT 2'!E24</f>
        <v>2352467.8086502831</v>
      </c>
      <c r="W5" s="964">
        <f>'TS - 14 R1 FAT 2'!E25</f>
        <v>2355540.3740617246</v>
      </c>
      <c r="X5" s="964">
        <f>'TS - 14 R1 FAT 2'!E26</f>
        <v>2358612.9394731643</v>
      </c>
      <c r="Y5" s="964">
        <f>'TS - 14 R1 FAT 2'!E27</f>
        <v>2360847.5324996668</v>
      </c>
      <c r="Z5" s="964">
        <f>'TS - 14 R1 FAT 2'!E28</f>
        <v>2363082.1255261693</v>
      </c>
      <c r="AA5" s="964">
        <f>'TS - 14 R1 FAT 2'!E29</f>
        <v>2365316.7185526714</v>
      </c>
      <c r="AB5" s="964">
        <f>'TS - 14 R1 FAT 2'!E30</f>
        <v>2368109.9598357999</v>
      </c>
      <c r="AC5" s="964">
        <f>'TS - 14 R1 FAT 2'!E31</f>
        <v>2370903.201118927</v>
      </c>
      <c r="AD5" s="964">
        <f>'TS - 14 R1 FAT 2'!E32</f>
        <v>2373417.118273742</v>
      </c>
      <c r="AE5" s="964">
        <f>'TS - 14 R1 FAT 2'!E33</f>
        <v>2376210.3595568701</v>
      </c>
      <c r="AF5" s="964">
        <f>'TS - 14 R1 FAT 2'!E34</f>
        <v>2378165.6284550596</v>
      </c>
      <c r="AG5" s="963">
        <f t="shared" si="1"/>
        <v>67165345.973890871</v>
      </c>
    </row>
    <row r="6" spans="1:36" ht="20.25" customHeight="1">
      <c r="A6" s="1127"/>
      <c r="B6" s="1128" t="s">
        <v>204</v>
      </c>
      <c r="C6" s="1125">
        <f>'TS - 14 R1 FAT 2'!F5</f>
        <v>755927.22474067716</v>
      </c>
      <c r="D6" s="1125">
        <f>'TS - 14 R1 FAT 2'!F6</f>
        <v>864024.61729416624</v>
      </c>
      <c r="E6" s="1125">
        <f>'TS - 14 R1 FAT 2'!F7</f>
        <v>921110.0796396106</v>
      </c>
      <c r="F6" s="1125">
        <f>'TS - 14 R1 FAT 2'!F8</f>
        <v>945261.79093005392</v>
      </c>
      <c r="G6" s="964">
        <f>'TS - 14 R1 FAT 2'!F9</f>
        <v>987517.85328943643</v>
      </c>
      <c r="H6" s="964">
        <f>'TS - 14 R1 FAT 2'!F10</f>
        <v>1233808.963586611</v>
      </c>
      <c r="I6" s="964">
        <f>'TS - 14 R1 FAT 2'!F11</f>
        <v>1534187.1152716517</v>
      </c>
      <c r="J6" s="964">
        <f>'TS - 14 R1 FAT 2'!F12</f>
        <v>1722652.7906713283</v>
      </c>
      <c r="K6" s="964">
        <f>'TS - 14 R1 FAT 2'!F13</f>
        <v>1797028.7303120072</v>
      </c>
      <c r="L6" s="964">
        <f>'TS - 14 R1 FAT 2'!F14</f>
        <v>1895835.7137177221</v>
      </c>
      <c r="M6" s="964">
        <f>'TS - 14 R1 FAT 2'!F15</f>
        <v>2091084.8271024216</v>
      </c>
      <c r="N6" s="964">
        <f>'TS - 14 R1 FAT 2'!F16</f>
        <v>2385128.8489391641</v>
      </c>
      <c r="O6" s="964">
        <f>'TS - 14 R1 FAT 2'!F17</f>
        <v>2388562.3357658512</v>
      </c>
      <c r="P6" s="964">
        <f>'TS - 14 R1 FAT 2'!F18</f>
        <v>2391995.8225925392</v>
      </c>
      <c r="Q6" s="964">
        <f>'TS - 14 R1 FAT 2'!F19</f>
        <v>2395429.3094192278</v>
      </c>
      <c r="R6" s="964">
        <f>'TS - 14 R1 FAT 2'!F20</f>
        <v>2398576.6723436909</v>
      </c>
      <c r="S6" s="964">
        <f>'TS - 14 R1 FAT 2'!F21</f>
        <v>2401437.9113659309</v>
      </c>
      <c r="T6" s="964">
        <f>'TS - 14 R1 FAT 2'!F22</f>
        <v>2404299.1503881705</v>
      </c>
      <c r="U6" s="964">
        <f>'TS - 14 R1 FAT 2'!F23</f>
        <v>2407160.3894104101</v>
      </c>
      <c r="V6" s="964">
        <f>'TS - 14 R1 FAT 2'!F24</f>
        <v>2409735.5045304266</v>
      </c>
      <c r="W6" s="964">
        <f>'TS - 14 R1 FAT 2'!F25</f>
        <v>2412882.8674548911</v>
      </c>
      <c r="X6" s="964">
        <f>'TS - 14 R1 FAT 2'!F26</f>
        <v>2416030.2303793547</v>
      </c>
      <c r="Y6" s="964">
        <f>'TS - 14 R1 FAT 2'!F27</f>
        <v>2418319.2215971467</v>
      </c>
      <c r="Z6" s="964">
        <f>'TS - 14 R1 FAT 2'!F28</f>
        <v>2420608.2128149383</v>
      </c>
      <c r="AA6" s="964">
        <f>'TS - 14 R1 FAT 2'!F29</f>
        <v>2422897.2040327298</v>
      </c>
      <c r="AB6" s="964">
        <f>'TS - 14 R1 FAT 2'!F30</f>
        <v>2425758.4430549708</v>
      </c>
      <c r="AC6" s="964">
        <f>'TS - 14 R1 FAT 2'!F31</f>
        <v>2428619.6820772095</v>
      </c>
      <c r="AD6" s="964">
        <f>'TS - 14 R1 FAT 2'!F32</f>
        <v>2431194.7971972255</v>
      </c>
      <c r="AE6" s="964">
        <f>'TS - 14 R1 FAT 2'!F33</f>
        <v>2434056.036219466</v>
      </c>
      <c r="AF6" s="964">
        <f>'TS - 14 R1 FAT 2'!F34</f>
        <v>2436058.903535034</v>
      </c>
      <c r="AG6" s="963">
        <f t="shared" si="1"/>
        <v>60577191.249674059</v>
      </c>
    </row>
    <row r="7" spans="1:36" ht="20.25" customHeight="1">
      <c r="A7" s="1127"/>
      <c r="B7" s="1128" t="s">
        <v>205</v>
      </c>
      <c r="C7" s="1125">
        <f>'TS - 14 R1 FAT 2'!G5</f>
        <v>23294.028204029146</v>
      </c>
      <c r="D7" s="1125">
        <f>'TS - 14 R1 FAT 2'!G6</f>
        <v>24745.693007860991</v>
      </c>
      <c r="E7" s="1125">
        <f>'TS - 14 R1 FAT 2'!G7</f>
        <v>43686.059045933551</v>
      </c>
      <c r="F7" s="1125">
        <f>'TS - 14 R1 FAT 2'!G8</f>
        <v>62329.938508839361</v>
      </c>
      <c r="G7" s="964">
        <f>'TS - 14 R1 FAT 2'!G9</f>
        <v>29675.178532894366</v>
      </c>
      <c r="H7" s="964">
        <f>'TS - 14 R1 FAT 2'!G10</f>
        <v>33046.547741275266</v>
      </c>
      <c r="I7" s="964">
        <f>'TS - 14 R1 FAT 2'!G11</f>
        <v>37172.527121289007</v>
      </c>
      <c r="J7" s="964">
        <f>'TS - 14 R1 FAT 2'!G12</f>
        <v>40239.830853341489</v>
      </c>
      <c r="K7" s="964">
        <f>'TS - 14 R1 FAT 2'!G13</f>
        <v>40459.742457228778</v>
      </c>
      <c r="L7" s="964">
        <f>'TS - 14 R1 FAT 2'!G14</f>
        <v>42214.86006588232</v>
      </c>
      <c r="M7" s="964">
        <f>'TS - 14 R1 FAT 2'!G15</f>
        <v>44161.788711780515</v>
      </c>
      <c r="N7" s="964">
        <f>'TS - 14 R1 FAT 2'!G16</f>
        <v>47135.747825545484</v>
      </c>
      <c r="O7" s="964">
        <f>'TS - 14 R1 FAT 2'!G17</f>
        <v>47203.601589209888</v>
      </c>
      <c r="P7" s="964">
        <f>'TS - 14 R1 FAT 2'!G18</f>
        <v>47271.455352874298</v>
      </c>
      <c r="Q7" s="964">
        <f>'TS - 14 R1 FAT 2'!G19</f>
        <v>47339.309116538723</v>
      </c>
      <c r="R7" s="964">
        <f>'TS - 14 R1 FAT 2'!G20</f>
        <v>47401.50839989775</v>
      </c>
      <c r="S7" s="964">
        <f>'TS - 14 R1 FAT 2'!G21</f>
        <v>47458.053202951436</v>
      </c>
      <c r="T7" s="964">
        <f>'TS - 14 R1 FAT 2'!G22</f>
        <v>47514.598006005101</v>
      </c>
      <c r="U7" s="964">
        <f>'TS - 14 R1 FAT 2'!G23</f>
        <v>47571.142809058772</v>
      </c>
      <c r="V7" s="964">
        <f>'TS - 14 R1 FAT 2'!G24</f>
        <v>47622.033131807097</v>
      </c>
      <c r="W7" s="964">
        <f>'TS - 14 R1 FAT 2'!G25</f>
        <v>47684.23241516616</v>
      </c>
      <c r="X7" s="964">
        <f>'TS - 14 R1 FAT 2'!G26</f>
        <v>47746.431698525193</v>
      </c>
      <c r="Y7" s="964">
        <f>'TS - 14 R1 FAT 2'!G27</f>
        <v>47791.667540968134</v>
      </c>
      <c r="Z7" s="964">
        <f>'TS - 14 R1 FAT 2'!G28</f>
        <v>47836.903383411074</v>
      </c>
      <c r="AA7" s="964">
        <f>'TS - 14 R1 FAT 2'!G29</f>
        <v>47882.139225854015</v>
      </c>
      <c r="AB7" s="964">
        <f>'TS - 14 R1 FAT 2'!G30</f>
        <v>47938.684028907708</v>
      </c>
      <c r="AC7" s="964">
        <f>'TS - 14 R1 FAT 2'!G31</f>
        <v>47995.228831961358</v>
      </c>
      <c r="AD7" s="964">
        <f>'TS - 14 R1 FAT 2'!G32</f>
        <v>48046.119154709675</v>
      </c>
      <c r="AE7" s="964">
        <f>'TS - 14 R1 FAT 2'!G33</f>
        <v>48102.663957763361</v>
      </c>
      <c r="AF7" s="964">
        <f>'TS - 14 R1 FAT 2'!G34</f>
        <v>48142.24531990094</v>
      </c>
      <c r="AG7" s="963">
        <f t="shared" si="1"/>
        <v>1326709.959241411</v>
      </c>
    </row>
    <row r="8" spans="1:36" s="89" customFormat="1" ht="20.25" customHeight="1">
      <c r="A8" s="1112"/>
      <c r="B8" s="1113" t="s">
        <v>206</v>
      </c>
      <c r="C8" s="1124">
        <f>-SUM(C9:C10)</f>
        <v>-179421.96504071998</v>
      </c>
      <c r="D8" s="1124">
        <f t="shared" ref="D8:AF8" si="2">-SUM(D9:D10)</f>
        <v>-234617.19486967311</v>
      </c>
      <c r="E8" s="1124">
        <f t="shared" si="2"/>
        <v>-255067.11447188459</v>
      </c>
      <c r="F8" s="1124">
        <f t="shared" si="2"/>
        <v>-266470.53804765607</v>
      </c>
      <c r="G8" s="962">
        <f t="shared" si="2"/>
        <v>-277240.35544356558</v>
      </c>
      <c r="H8" s="962">
        <f t="shared" si="2"/>
        <v>-308737.37227286416</v>
      </c>
      <c r="I8" s="962">
        <f t="shared" si="2"/>
        <v>-347284.33463064255</v>
      </c>
      <c r="J8" s="962">
        <f t="shared" si="2"/>
        <v>-375940.61974734289</v>
      </c>
      <c r="K8" s="962">
        <f t="shared" si="2"/>
        <v>-377995.14390665985</v>
      </c>
      <c r="L8" s="962">
        <f t="shared" si="2"/>
        <v>-394392.33016550553</v>
      </c>
      <c r="M8" s="962">
        <f t="shared" si="2"/>
        <v>-412581.5110398095</v>
      </c>
      <c r="N8" s="962">
        <f t="shared" si="2"/>
        <v>-440365.72406015865</v>
      </c>
      <c r="O8" s="962">
        <f t="shared" si="2"/>
        <v>-440999.64784719335</v>
      </c>
      <c r="P8" s="962">
        <f t="shared" si="2"/>
        <v>-441633.57163422811</v>
      </c>
      <c r="Q8" s="962">
        <f t="shared" si="2"/>
        <v>-442267.49542126304</v>
      </c>
      <c r="R8" s="962">
        <f t="shared" si="2"/>
        <v>-442848.59222604474</v>
      </c>
      <c r="S8" s="962">
        <f t="shared" si="2"/>
        <v>-443376.86204857379</v>
      </c>
      <c r="T8" s="962">
        <f t="shared" si="2"/>
        <v>-443905.13187110267</v>
      </c>
      <c r="U8" s="962">
        <f t="shared" si="2"/>
        <v>-444433.40169363155</v>
      </c>
      <c r="V8" s="962">
        <f t="shared" si="2"/>
        <v>-444908.84453390777</v>
      </c>
      <c r="W8" s="962">
        <f t="shared" si="2"/>
        <v>-445489.94133868982</v>
      </c>
      <c r="X8" s="962">
        <f t="shared" si="2"/>
        <v>-446071.03814347164</v>
      </c>
      <c r="Y8" s="962">
        <f t="shared" si="2"/>
        <v>-446493.65400149487</v>
      </c>
      <c r="Z8" s="962">
        <f t="shared" si="2"/>
        <v>-446916.26985951798</v>
      </c>
      <c r="AA8" s="962">
        <f t="shared" si="2"/>
        <v>-447338.88571754115</v>
      </c>
      <c r="AB8" s="962">
        <f t="shared" si="2"/>
        <v>-447867.15554007021</v>
      </c>
      <c r="AC8" s="962">
        <f t="shared" si="2"/>
        <v>-448395.42536259902</v>
      </c>
      <c r="AD8" s="962">
        <f t="shared" si="2"/>
        <v>-448870.86820287502</v>
      </c>
      <c r="AE8" s="962">
        <f t="shared" si="2"/>
        <v>-449399.13802540419</v>
      </c>
      <c r="AF8" s="962">
        <f t="shared" si="2"/>
        <v>-449768.92690117453</v>
      </c>
      <c r="AG8" s="963">
        <f t="shared" si="1"/>
        <v>-11891099.054065268</v>
      </c>
    </row>
    <row r="9" spans="1:36" ht="20.25" customHeight="1">
      <c r="B9" s="1128" t="s">
        <v>207</v>
      </c>
      <c r="C9" s="1125">
        <v>147448.94630089999</v>
      </c>
      <c r="D9" s="1125">
        <v>192742.64791063301</v>
      </c>
      <c r="E9" s="1125">
        <v>209568.66704207199</v>
      </c>
      <c r="F9" s="1125">
        <v>218937.955418909</v>
      </c>
      <c r="G9" s="964">
        <f t="shared" ref="G9:AF9" si="3">0.076*G4</f>
        <v>227786.67041849715</v>
      </c>
      <c r="H9" s="964">
        <f t="shared" si="3"/>
        <v>253665.30046202891</v>
      </c>
      <c r="I9" s="964">
        <f t="shared" si="3"/>
        <v>285336.3181830144</v>
      </c>
      <c r="J9" s="964">
        <f t="shared" si="3"/>
        <v>308880.94163024932</v>
      </c>
      <c r="K9" s="964">
        <f t="shared" si="3"/>
        <v>310568.98310168809</v>
      </c>
      <c r="L9" s="964">
        <f t="shared" si="3"/>
        <v>324041.26586571266</v>
      </c>
      <c r="M9" s="964">
        <f t="shared" si="3"/>
        <v>338985.89015162725</v>
      </c>
      <c r="N9" s="964">
        <f t="shared" si="3"/>
        <v>361814.0003088871</v>
      </c>
      <c r="O9" s="964">
        <f t="shared" si="3"/>
        <v>362334.84579877509</v>
      </c>
      <c r="P9" s="964">
        <f t="shared" si="3"/>
        <v>362855.69128866307</v>
      </c>
      <c r="Q9" s="964">
        <f t="shared" si="3"/>
        <v>363376.53677855124</v>
      </c>
      <c r="R9" s="964">
        <f t="shared" si="3"/>
        <v>363853.97847761516</v>
      </c>
      <c r="S9" s="964">
        <f t="shared" si="3"/>
        <v>364288.01638585521</v>
      </c>
      <c r="T9" s="964">
        <f t="shared" si="3"/>
        <v>364722.05429409514</v>
      </c>
      <c r="U9" s="964">
        <f t="shared" si="3"/>
        <v>365156.09220233513</v>
      </c>
      <c r="V9" s="964">
        <f t="shared" si="3"/>
        <v>365546.72631975124</v>
      </c>
      <c r="W9" s="964">
        <f t="shared" si="3"/>
        <v>366024.1680188154</v>
      </c>
      <c r="X9" s="964">
        <f t="shared" si="3"/>
        <v>366501.60971787939</v>
      </c>
      <c r="Y9" s="964">
        <f t="shared" si="3"/>
        <v>366848.84004447144</v>
      </c>
      <c r="Z9" s="964">
        <f t="shared" si="3"/>
        <v>367196.07037106343</v>
      </c>
      <c r="AA9" s="964">
        <f t="shared" si="3"/>
        <v>367543.30069765542</v>
      </c>
      <c r="AB9" s="964">
        <f t="shared" si="3"/>
        <v>367977.33860589552</v>
      </c>
      <c r="AC9" s="964">
        <f t="shared" si="3"/>
        <v>368411.37651413539</v>
      </c>
      <c r="AD9" s="964">
        <f t="shared" si="3"/>
        <v>368802.01063155138</v>
      </c>
      <c r="AE9" s="964">
        <f t="shared" si="3"/>
        <v>369236.04853979155</v>
      </c>
      <c r="AF9" s="964">
        <f t="shared" si="3"/>
        <v>369539.8750755596</v>
      </c>
      <c r="AG9" s="963">
        <f t="shared" si="1"/>
        <v>9769992.1665566787</v>
      </c>
    </row>
    <row r="10" spans="1:36" ht="20.25" customHeight="1">
      <c r="B10" s="1128" t="s">
        <v>208</v>
      </c>
      <c r="C10" s="1125">
        <v>31973.01873982</v>
      </c>
      <c r="D10" s="1125">
        <v>41874.546959040097</v>
      </c>
      <c r="E10" s="1125">
        <v>45498.447429812601</v>
      </c>
      <c r="F10" s="1125">
        <v>47532.582628747099</v>
      </c>
      <c r="G10" s="964">
        <f t="shared" ref="G10:AF10" si="4">0.0165*G4</f>
        <v>49453.685025068458</v>
      </c>
      <c r="H10" s="964">
        <f t="shared" si="4"/>
        <v>55072.07181083523</v>
      </c>
      <c r="I10" s="964">
        <f t="shared" si="4"/>
        <v>61948.016447628135</v>
      </c>
      <c r="J10" s="964">
        <f t="shared" si="4"/>
        <v>67059.678117093601</v>
      </c>
      <c r="K10" s="964">
        <f t="shared" si="4"/>
        <v>67426.160804971762</v>
      </c>
      <c r="L10" s="964">
        <f t="shared" si="4"/>
        <v>70351.064299792881</v>
      </c>
      <c r="M10" s="964">
        <f t="shared" si="4"/>
        <v>73595.620888182239</v>
      </c>
      <c r="N10" s="964">
        <f t="shared" si="4"/>
        <v>78551.723751271551</v>
      </c>
      <c r="O10" s="964">
        <f t="shared" si="4"/>
        <v>78664.802048418278</v>
      </c>
      <c r="P10" s="964">
        <f t="shared" si="4"/>
        <v>78777.88034556502</v>
      </c>
      <c r="Q10" s="964">
        <f t="shared" si="4"/>
        <v>78890.95864271179</v>
      </c>
      <c r="R10" s="964">
        <f t="shared" si="4"/>
        <v>78994.613748429605</v>
      </c>
      <c r="S10" s="964">
        <f t="shared" si="4"/>
        <v>79088.845662718581</v>
      </c>
      <c r="T10" s="964">
        <f t="shared" si="4"/>
        <v>79183.077577007512</v>
      </c>
      <c r="U10" s="964">
        <f t="shared" si="4"/>
        <v>79277.309491296444</v>
      </c>
      <c r="V10" s="964">
        <f t="shared" si="4"/>
        <v>79362.118214156522</v>
      </c>
      <c r="W10" s="964">
        <f t="shared" si="4"/>
        <v>79465.77331987441</v>
      </c>
      <c r="X10" s="964">
        <f t="shared" si="4"/>
        <v>79569.428425592239</v>
      </c>
      <c r="Y10" s="964">
        <f t="shared" si="4"/>
        <v>79644.813957023405</v>
      </c>
      <c r="Z10" s="964">
        <f t="shared" si="4"/>
        <v>79720.199488454571</v>
      </c>
      <c r="AA10" s="964">
        <f t="shared" si="4"/>
        <v>79795.585019885722</v>
      </c>
      <c r="AB10" s="964">
        <f t="shared" si="4"/>
        <v>79889.816934174698</v>
      </c>
      <c r="AC10" s="964">
        <f t="shared" si="4"/>
        <v>79984.048848463615</v>
      </c>
      <c r="AD10" s="964">
        <f t="shared" si="4"/>
        <v>80068.857571323664</v>
      </c>
      <c r="AE10" s="964">
        <f t="shared" si="4"/>
        <v>80163.08948561264</v>
      </c>
      <c r="AF10" s="964">
        <f t="shared" si="4"/>
        <v>80229.051825614923</v>
      </c>
      <c r="AG10" s="963">
        <f t="shared" si="1"/>
        <v>2121106.8875085874</v>
      </c>
    </row>
    <row r="11" spans="1:36" s="89" customFormat="1" ht="20.25" customHeight="1">
      <c r="B11" s="1113" t="s">
        <v>209</v>
      </c>
      <c r="C11" s="1126">
        <v>-240325.14992063027</v>
      </c>
      <c r="D11" s="1126">
        <v>-5731.8357714316808</v>
      </c>
      <c r="E11" s="1126">
        <v>44055.680904777721</v>
      </c>
      <c r="F11" s="1126">
        <v>19240.19274912728</v>
      </c>
      <c r="G11" s="962">
        <f>-('15 R1 ARREC'!F9-'15 R1 ARREC'!F8)</f>
        <v>24596.90771402698</v>
      </c>
      <c r="H11" s="962">
        <f>-('15 R1 ARREC'!F10-'15 R1 ARREC'!F9)</f>
        <v>12946.515815899707</v>
      </c>
      <c r="I11" s="962">
        <f>-('15 R1 ARREC'!F11-'15 R1 ARREC'!F10)</f>
        <v>-20836.195869069546</v>
      </c>
      <c r="J11" s="962">
        <f>-('15 R1 ARREC'!F12-'15 R1 ARREC'!F11)</f>
        <v>-15489.883846865036</v>
      </c>
      <c r="K11" s="962">
        <f>-('15 R1 ARREC'!F13-'15 R1 ARREC'!F12)</f>
        <v>-1110.5535996304825</v>
      </c>
      <c r="L11" s="962">
        <f>-('15 R1 ARREC'!F14-'15 R1 ARREC'!F13)</f>
        <v>-8863.3439237005077</v>
      </c>
      <c r="M11" s="962">
        <f>-('15 R1 ARREC'!F15-'15 R1 ARREC'!F14)</f>
        <v>-9831.9896617862396</v>
      </c>
      <c r="N11" s="962">
        <f>-('15 R1 ARREC'!F16-'15 R1 ARREC'!F15)</f>
        <v>-15018.493524512276</v>
      </c>
      <c r="O11" s="962">
        <f>-('15 R1 ARREC'!F17-'15 R1 ARREC'!F16)</f>
        <v>-342.66150650568306</v>
      </c>
      <c r="P11" s="962">
        <f>-('15 R1 ARREC'!F18-'15 R1 ARREC'!F17)</f>
        <v>-342.66150650568306</v>
      </c>
      <c r="Q11" s="962">
        <f>-('15 R1 ARREC'!F19-'15 R1 ARREC'!F18)</f>
        <v>-342.66150650475174</v>
      </c>
      <c r="R11" s="962">
        <f>-('15 R1 ARREC'!F20-'15 R1 ARREC'!F19)</f>
        <v>-314.10638096369803</v>
      </c>
      <c r="S11" s="962">
        <f>-('15 R1 ARREC'!F21-'15 R1 ARREC'!F20)</f>
        <v>-285.55125542078167</v>
      </c>
      <c r="T11" s="962">
        <f>-('15 R1 ARREC'!F22-'15 R1 ARREC'!F21)</f>
        <v>-285.55125542078167</v>
      </c>
      <c r="U11" s="962">
        <f>-('15 R1 ARREC'!F23-'15 R1 ARREC'!F22)</f>
        <v>-285.55125542078167</v>
      </c>
      <c r="V11" s="962">
        <f>-('15 R1 ARREC'!F24-'15 R1 ARREC'!F23)</f>
        <v>-256.99612987972796</v>
      </c>
      <c r="W11" s="962">
        <f>-('15 R1 ARREC'!F25-'15 R1 ARREC'!F24)</f>
        <v>-314.10638096276671</v>
      </c>
      <c r="X11" s="962">
        <f>-('15 R1 ARREC'!F26-'15 R1 ARREC'!F25)</f>
        <v>-314.10638096369803</v>
      </c>
      <c r="Y11" s="962">
        <f>-('15 R1 ARREC'!F27-'15 R1 ARREC'!F26)</f>
        <v>-228.4410043368116</v>
      </c>
      <c r="Z11" s="962">
        <f>-('15 R1 ARREC'!F28-'15 R1 ARREC'!F27)</f>
        <v>-228.4410043368116</v>
      </c>
      <c r="AA11" s="962">
        <f>-('15 R1 ARREC'!F29-'15 R1 ARREC'!F28)</f>
        <v>-228.4410043368116</v>
      </c>
      <c r="AB11" s="962">
        <f>-('15 R1 ARREC'!F30-'15 R1 ARREC'!F29)</f>
        <v>-285.55125542078167</v>
      </c>
      <c r="AC11" s="962">
        <f>-('15 R1 ARREC'!F31-'15 R1 ARREC'!F30)</f>
        <v>-285.55125542078167</v>
      </c>
      <c r="AD11" s="962">
        <f>-('15 R1 ARREC'!F32-'15 R1 ARREC'!F31)</f>
        <v>-256.99612987879664</v>
      </c>
      <c r="AE11" s="962">
        <f>-('15 R1 ARREC'!F33-'15 R1 ARREC'!F32)</f>
        <v>-285.55125542171299</v>
      </c>
      <c r="AF11" s="962">
        <f>-('15 R1 ARREC'!F34-'15 R1 ARREC'!F33)</f>
        <v>-199.88587879482657</v>
      </c>
      <c r="AG11" s="963">
        <f t="shared" si="1"/>
        <v>-221450.96128029004</v>
      </c>
    </row>
    <row r="12" spans="1:36" s="89" customFormat="1" ht="20.25" customHeight="1">
      <c r="A12" s="1112"/>
      <c r="B12" s="1113" t="s">
        <v>210</v>
      </c>
      <c r="C12" s="1124">
        <f>C4+C8+C11</f>
        <v>1883071.2192221037</v>
      </c>
      <c r="D12" s="1124">
        <f t="shared" ref="D12:AF12" si="5">D4+D8+D11</f>
        <v>2348736.4306745757</v>
      </c>
      <c r="E12" s="1124">
        <f t="shared" si="5"/>
        <v>2607846.6711710477</v>
      </c>
      <c r="F12" s="1124">
        <f t="shared" si="5"/>
        <v>2673176.6493209945</v>
      </c>
      <c r="G12" s="962">
        <f t="shared" si="5"/>
        <v>2744549.5840927921</v>
      </c>
      <c r="H12" s="962">
        <f t="shared" si="5"/>
        <v>3041910.4654118372</v>
      </c>
      <c r="I12" s="962">
        <f t="shared" si="5"/>
        <v>3386304.7087504775</v>
      </c>
      <c r="J12" s="962">
        <f t="shared" si="5"/>
        <v>3672792.4125932828</v>
      </c>
      <c r="K12" s="962">
        <f t="shared" si="5"/>
        <v>3707328.2906738161</v>
      </c>
      <c r="L12" s="962">
        <f t="shared" si="5"/>
        <v>3860445.1925649079</v>
      </c>
      <c r="M12" s="962">
        <f t="shared" si="5"/>
        <v>4037927.1591882366</v>
      </c>
      <c r="N12" s="962">
        <f t="shared" si="5"/>
        <v>4305326.312795423</v>
      </c>
      <c r="O12" s="962">
        <f t="shared" si="5"/>
        <v>4326221.4511564998</v>
      </c>
      <c r="P12" s="962">
        <f t="shared" si="5"/>
        <v>4332440.75749957</v>
      </c>
      <c r="Q12" s="962">
        <f t="shared" si="5"/>
        <v>4338660.0638426431</v>
      </c>
      <c r="R12" s="962">
        <f t="shared" si="5"/>
        <v>4344389.6497826651</v>
      </c>
      <c r="S12" s="962">
        <f t="shared" si="5"/>
        <v>4349600.9601941006</v>
      </c>
      <c r="T12" s="962">
        <f t="shared" si="5"/>
        <v>4354783.7154799923</v>
      </c>
      <c r="U12" s="962">
        <f t="shared" si="5"/>
        <v>4359966.4707658831</v>
      </c>
      <c r="V12" s="962">
        <f t="shared" si="5"/>
        <v>4364659.5056487285</v>
      </c>
      <c r="W12" s="962">
        <f t="shared" si="5"/>
        <v>4370303.4262121292</v>
      </c>
      <c r="X12" s="962">
        <f t="shared" si="5"/>
        <v>4376004.4570266092</v>
      </c>
      <c r="Y12" s="962">
        <f t="shared" si="5"/>
        <v>4380236.3266319502</v>
      </c>
      <c r="Z12" s="962">
        <f t="shared" si="5"/>
        <v>4384382.5308606643</v>
      </c>
      <c r="AA12" s="962">
        <f t="shared" si="5"/>
        <v>4388528.7350893775</v>
      </c>
      <c r="AB12" s="962">
        <f t="shared" si="5"/>
        <v>4393654.3801241871</v>
      </c>
      <c r="AC12" s="962">
        <f t="shared" si="5"/>
        <v>4398837.1354100779</v>
      </c>
      <c r="AD12" s="962">
        <f t="shared" si="5"/>
        <v>4403530.1702929223</v>
      </c>
      <c r="AE12" s="962">
        <f t="shared" si="5"/>
        <v>4408684.3704532739</v>
      </c>
      <c r="AF12" s="962">
        <f t="shared" si="5"/>
        <v>4412397.9645300256</v>
      </c>
      <c r="AG12" s="963">
        <f t="shared" si="1"/>
        <v>116956697.16746078</v>
      </c>
    </row>
    <row r="13" spans="1:36" s="89" customFormat="1" ht="20.25" customHeight="1">
      <c r="B13" s="468" t="s">
        <v>211</v>
      </c>
      <c r="C13" s="576">
        <f>C14+C15</f>
        <v>-462068.86326204147</v>
      </c>
      <c r="D13" s="576">
        <f t="shared" ref="D13:AF13" si="6">D14+D15</f>
        <v>-369565.70052795502</v>
      </c>
      <c r="E13" s="576">
        <f t="shared" si="6"/>
        <v>-372990.80023137957</v>
      </c>
      <c r="F13" s="576">
        <f t="shared" si="6"/>
        <v>-365825.26800000004</v>
      </c>
      <c r="G13" s="962">
        <f t="shared" si="6"/>
        <v>-364530.62316929037</v>
      </c>
      <c r="H13" s="962">
        <f t="shared" si="6"/>
        <v>-386664.99739602057</v>
      </c>
      <c r="I13" s="962">
        <f t="shared" si="6"/>
        <v>-368051.52738592168</v>
      </c>
      <c r="J13" s="962">
        <f t="shared" si="6"/>
        <v>-369563.79094887548</v>
      </c>
      <c r="K13" s="962">
        <f t="shared" si="6"/>
        <v>-374710.74257447</v>
      </c>
      <c r="L13" s="962">
        <f t="shared" si="6"/>
        <v>-362395.04255699547</v>
      </c>
      <c r="M13" s="962">
        <f t="shared" si="6"/>
        <v>-362481.33999999997</v>
      </c>
      <c r="N13" s="962">
        <f t="shared" si="6"/>
        <v>-362490.34070234851</v>
      </c>
      <c r="O13" s="962">
        <f t="shared" si="6"/>
        <v>-362536.99326174881</v>
      </c>
      <c r="P13" s="962">
        <f t="shared" si="6"/>
        <v>-362583.70954566193</v>
      </c>
      <c r="Q13" s="962">
        <f t="shared" si="6"/>
        <v>-362630.4975196523</v>
      </c>
      <c r="R13" s="962">
        <f t="shared" si="6"/>
        <v>-362696.54000000004</v>
      </c>
      <c r="S13" s="962">
        <f t="shared" si="6"/>
        <v>-362712.66594447545</v>
      </c>
      <c r="T13" s="962">
        <f t="shared" si="6"/>
        <v>-362751.99800359353</v>
      </c>
      <c r="U13" s="962">
        <f t="shared" si="6"/>
        <v>-362789.80886980717</v>
      </c>
      <c r="V13" s="962">
        <f t="shared" si="6"/>
        <v>-362825.60956597811</v>
      </c>
      <c r="W13" s="962">
        <f t="shared" si="6"/>
        <v>-362857.98</v>
      </c>
      <c r="X13" s="962">
        <f t="shared" si="6"/>
        <v>-362911.24421609647</v>
      </c>
      <c r="Y13" s="962">
        <f t="shared" si="6"/>
        <v>-362943.6906476072</v>
      </c>
      <c r="Z13" s="962">
        <f t="shared" si="6"/>
        <v>-362978.11100334622</v>
      </c>
      <c r="AA13" s="962">
        <f t="shared" si="6"/>
        <v>-363012.92385767959</v>
      </c>
      <c r="AB13" s="962">
        <f t="shared" si="6"/>
        <v>-363097.00400000002</v>
      </c>
      <c r="AC13" s="962">
        <f t="shared" si="6"/>
        <v>-363097.00762754027</v>
      </c>
      <c r="AD13" s="962">
        <f t="shared" si="6"/>
        <v>-363135.18987865513</v>
      </c>
      <c r="AE13" s="962">
        <f t="shared" si="6"/>
        <v>-363180.18092086643</v>
      </c>
      <c r="AF13" s="962">
        <f t="shared" si="6"/>
        <v>-363220.56991323736</v>
      </c>
      <c r="AG13" s="963">
        <f t="shared" ref="AG13:AG20" si="7">SUM(C13:AF13)</f>
        <v>-11053300.761531249</v>
      </c>
      <c r="AJ13" s="136"/>
    </row>
    <row r="14" spans="1:36" s="89" customFormat="1" ht="20.25" customHeight="1">
      <c r="B14" s="477" t="s">
        <v>212</v>
      </c>
      <c r="C14" s="575">
        <f>-TRANSPOSE('16 R1 OPEX'!$H$5:$H$34)</f>
        <v>-222919.5</v>
      </c>
      <c r="D14" s="575">
        <f>-TRANSPOSE('16 R1 OPEX'!$H$5:$H$34)</f>
        <v>-222919.5</v>
      </c>
      <c r="E14" s="575">
        <f>-TRANSPOSE('16 R1 OPEX'!$H$5:$H$34)</f>
        <v>-222919.5</v>
      </c>
      <c r="F14" s="575">
        <f>-TRANSPOSE('16 R1 OPEX'!$H$5:$H$34)</f>
        <v>-222919.5</v>
      </c>
      <c r="G14" s="964">
        <f>-TRANSPOSE('16 R1 OPEX'!$H$5:$H$34)</f>
        <v>-222919.5</v>
      </c>
      <c r="H14" s="964">
        <f>-TRANSPOSE('16 R1 OPEX'!$H$5:$H$34)</f>
        <v>-222919.5</v>
      </c>
      <c r="I14" s="964">
        <f>-TRANSPOSE('16 R1 OPEX'!$H$5:$H$34)</f>
        <v>-222919.5</v>
      </c>
      <c r="J14" s="964">
        <f>-TRANSPOSE('16 R1 OPEX'!$H$5:$H$34)</f>
        <v>-222919.5</v>
      </c>
      <c r="K14" s="964">
        <f>-TRANSPOSE('16 R1 OPEX'!$H$5:$H$34)</f>
        <v>-222919.5</v>
      </c>
      <c r="L14" s="964">
        <f>-TRANSPOSE('16 R1 OPEX'!$H$5:$H$34)</f>
        <v>-222919.5</v>
      </c>
      <c r="M14" s="964">
        <f>-TRANSPOSE('16 R1 OPEX'!$H$5:$H$34)</f>
        <v>-222919.5</v>
      </c>
      <c r="N14" s="964">
        <f>-TRANSPOSE('16 R1 OPEX'!$H$5:$H$34)</f>
        <v>-222919.5</v>
      </c>
      <c r="O14" s="964">
        <f>-TRANSPOSE('16 R1 OPEX'!$H$5:$H$34)</f>
        <v>-222919.5</v>
      </c>
      <c r="P14" s="964">
        <f>-TRANSPOSE('16 R1 OPEX'!$H$5:$H$34)</f>
        <v>-222919.5</v>
      </c>
      <c r="Q14" s="964">
        <f>-TRANSPOSE('16 R1 OPEX'!$H$5:$H$34)</f>
        <v>-222919.5</v>
      </c>
      <c r="R14" s="964">
        <f>-TRANSPOSE('16 R1 OPEX'!$H$5:$H$34)</f>
        <v>-222919.5</v>
      </c>
      <c r="S14" s="964">
        <f>-TRANSPOSE('16 R1 OPEX'!$H$5:$H$34)</f>
        <v>-222919.5</v>
      </c>
      <c r="T14" s="964">
        <f>-TRANSPOSE('16 R1 OPEX'!$H$5:$H$34)</f>
        <v>-222919.5</v>
      </c>
      <c r="U14" s="964">
        <f>-TRANSPOSE('16 R1 OPEX'!$H$5:$H$34)</f>
        <v>-222919.5</v>
      </c>
      <c r="V14" s="964">
        <f>-TRANSPOSE('16 R1 OPEX'!$H$5:$H$34)</f>
        <v>-222919.5</v>
      </c>
      <c r="W14" s="964">
        <f>-TRANSPOSE('16 R1 OPEX'!$H$5:$H$34)</f>
        <v>-222919.5</v>
      </c>
      <c r="X14" s="964">
        <f>-TRANSPOSE('16 R1 OPEX'!$H$5:$H$34)</f>
        <v>-222919.5</v>
      </c>
      <c r="Y14" s="964">
        <f>-TRANSPOSE('16 R1 OPEX'!$H$5:$H$34)</f>
        <v>-222919.5</v>
      </c>
      <c r="Z14" s="964">
        <f>-TRANSPOSE('16 R1 OPEX'!$H$5:$H$34)</f>
        <v>-222919.5</v>
      </c>
      <c r="AA14" s="964">
        <f>-TRANSPOSE('16 R1 OPEX'!$H$5:$H$34)</f>
        <v>-222919.5</v>
      </c>
      <c r="AB14" s="964">
        <f>-TRANSPOSE('16 R1 OPEX'!$H$5:$H$34)</f>
        <v>-222919.5</v>
      </c>
      <c r="AC14" s="964">
        <f>-TRANSPOSE('16 R1 OPEX'!$H$5:$H$34)</f>
        <v>-222919.5</v>
      </c>
      <c r="AD14" s="964">
        <f>-TRANSPOSE('16 R1 OPEX'!$H$5:$H$34)</f>
        <v>-222919.5</v>
      </c>
      <c r="AE14" s="964">
        <f>-TRANSPOSE('16 R1 OPEX'!$H$5:$H$34)</f>
        <v>-222919.5</v>
      </c>
      <c r="AF14" s="964">
        <f>-TRANSPOSE('16 R1 OPEX'!$H$5:$H$34)</f>
        <v>-222919.5</v>
      </c>
      <c r="AG14" s="965">
        <f t="shared" si="7"/>
        <v>-6687585</v>
      </c>
    </row>
    <row r="15" spans="1:36" s="89" customFormat="1" ht="20.25" customHeight="1">
      <c r="B15" s="477" t="s">
        <v>213</v>
      </c>
      <c r="C15" s="575">
        <f>-'16 R1 OPEX'!I5</f>
        <v>-239149.36326204147</v>
      </c>
      <c r="D15" s="575">
        <f>-'16 R1 OPEX'!I6</f>
        <v>-146646.20052795502</v>
      </c>
      <c r="E15" s="575">
        <f>-'16 R1 OPEX'!I7</f>
        <v>-150071.30023137954</v>
      </c>
      <c r="F15" s="575">
        <f>-'16 R1 OPEX'!I8</f>
        <v>-142905.76800000001</v>
      </c>
      <c r="G15" s="964">
        <f>-'16 R1 OPEX'!I9</f>
        <v>-141611.1231692904</v>
      </c>
      <c r="H15" s="964">
        <f>-'16 R1 OPEX'!I10</f>
        <v>-163745.49739602054</v>
      </c>
      <c r="I15" s="964">
        <f>-'16 R1 OPEX'!I11</f>
        <v>-145132.02738592165</v>
      </c>
      <c r="J15" s="964">
        <f>-'16 R1 OPEX'!I12</f>
        <v>-146644.29094887545</v>
      </c>
      <c r="K15" s="964">
        <f>-'16 R1 OPEX'!I13</f>
        <v>-151791.24257447</v>
      </c>
      <c r="L15" s="964">
        <f>-'16 R1 OPEX'!I14</f>
        <v>-139475.54255699547</v>
      </c>
      <c r="M15" s="964">
        <f>-'16 R1 OPEX'!I15</f>
        <v>-139561.84</v>
      </c>
      <c r="N15" s="964">
        <f>-'16 R1 OPEX'!I16</f>
        <v>-139570.84070234848</v>
      </c>
      <c r="O15" s="964">
        <f>-'16 R1 OPEX'!I17</f>
        <v>-139617.49326174878</v>
      </c>
      <c r="P15" s="964">
        <f>-'16 R1 OPEX'!I18</f>
        <v>-139664.20954566196</v>
      </c>
      <c r="Q15" s="964">
        <f>-'16 R1 OPEX'!I19</f>
        <v>-139710.9975196523</v>
      </c>
      <c r="R15" s="964">
        <f>-'16 R1 OPEX'!I20</f>
        <v>-139777.04</v>
      </c>
      <c r="S15" s="964">
        <f>-'16 R1 OPEX'!I21</f>
        <v>-139793.16594447548</v>
      </c>
      <c r="T15" s="964">
        <f>-'16 R1 OPEX'!I22</f>
        <v>-139832.49800359353</v>
      </c>
      <c r="U15" s="964">
        <f>-'16 R1 OPEX'!I23</f>
        <v>-139870.30886980714</v>
      </c>
      <c r="V15" s="964">
        <f>-'16 R1 OPEX'!I24</f>
        <v>-139906.10956597811</v>
      </c>
      <c r="W15" s="964">
        <f>-'16 R1 OPEX'!I25</f>
        <v>-139938.48000000001</v>
      </c>
      <c r="X15" s="964">
        <f>-'16 R1 OPEX'!I26</f>
        <v>-139991.74421609644</v>
      </c>
      <c r="Y15" s="964">
        <f>-'16 R1 OPEX'!I27</f>
        <v>-140024.19064760717</v>
      </c>
      <c r="Z15" s="964">
        <f>-'16 R1 OPEX'!I28</f>
        <v>-140058.61100334622</v>
      </c>
      <c r="AA15" s="964">
        <f>-'16 R1 OPEX'!I29</f>
        <v>-140093.42385767962</v>
      </c>
      <c r="AB15" s="964">
        <f>-'16 R1 OPEX'!I30</f>
        <v>-140177.50400000002</v>
      </c>
      <c r="AC15" s="964">
        <f>-'16 R1 OPEX'!I31</f>
        <v>-140177.5076275403</v>
      </c>
      <c r="AD15" s="964">
        <f>-'16 R1 OPEX'!I32</f>
        <v>-140215.68987865516</v>
      </c>
      <c r="AE15" s="964">
        <f>-'16 R1 OPEX'!I33</f>
        <v>-140260.68092086641</v>
      </c>
      <c r="AF15" s="964">
        <f>-'16 R1 OPEX'!I34</f>
        <v>-140301.06991323733</v>
      </c>
      <c r="AG15" s="965">
        <f t="shared" si="7"/>
        <v>-4365715.761531245</v>
      </c>
    </row>
    <row r="16" spans="1:36" ht="20.25" customHeight="1">
      <c r="B16" s="468" t="s">
        <v>214</v>
      </c>
      <c r="C16" s="576">
        <f>C17+C18+C19+C20</f>
        <v>-1057719.184271723</v>
      </c>
      <c r="D16" s="576">
        <f t="shared" ref="D16:AF16" si="8">D17+D18+D19+D20</f>
        <v>-1230326.5123160519</v>
      </c>
      <c r="E16" s="576">
        <f t="shared" si="8"/>
        <v>-1446948.7737891045</v>
      </c>
      <c r="F16" s="576">
        <f t="shared" si="8"/>
        <v>-1394729.7694170631</v>
      </c>
      <c r="G16" s="962">
        <f t="shared" si="8"/>
        <v>-1372431.1735002932</v>
      </c>
      <c r="H16" s="962">
        <f t="shared" si="8"/>
        <v>-1372166.094364627</v>
      </c>
      <c r="I16" s="962">
        <f t="shared" si="8"/>
        <v>-1366336.9765073925</v>
      </c>
      <c r="J16" s="962">
        <f t="shared" si="8"/>
        <v>-1415767.7581980655</v>
      </c>
      <c r="K16" s="962">
        <f t="shared" si="8"/>
        <v>-1438887.6579406383</v>
      </c>
      <c r="L16" s="962">
        <f t="shared" si="8"/>
        <v>-1459699.627200658</v>
      </c>
      <c r="M16" s="962">
        <f t="shared" si="8"/>
        <v>-1460821.3663060188</v>
      </c>
      <c r="N16" s="962">
        <f t="shared" si="8"/>
        <v>-1462045.7635940488</v>
      </c>
      <c r="O16" s="962">
        <f t="shared" si="8"/>
        <v>-1462837.8367342837</v>
      </c>
      <c r="P16" s="962">
        <f t="shared" si="8"/>
        <v>-1463629.9098745186</v>
      </c>
      <c r="Q16" s="962">
        <f t="shared" si="8"/>
        <v>-1464421.9830147536</v>
      </c>
      <c r="R16" s="962">
        <f t="shared" si="8"/>
        <v>-1465073.8827858537</v>
      </c>
      <c r="S16" s="962">
        <f t="shared" si="8"/>
        <v>-1465719.7318946985</v>
      </c>
      <c r="T16" s="962">
        <f t="shared" si="8"/>
        <v>-1466364.5052424648</v>
      </c>
      <c r="U16" s="962">
        <f t="shared" si="8"/>
        <v>-1467109.2785902307</v>
      </c>
      <c r="V16" s="962">
        <f t="shared" si="8"/>
        <v>-1467754.0519379969</v>
      </c>
      <c r="W16" s="962">
        <f t="shared" si="8"/>
        <v>-1468528.6735217113</v>
      </c>
      <c r="X16" s="962">
        <f t="shared" si="8"/>
        <v>-1469110.8389274431</v>
      </c>
      <c r="Y16" s="962">
        <f t="shared" si="8"/>
        <v>-1469661.4495864294</v>
      </c>
      <c r="Z16" s="962">
        <f t="shared" si="8"/>
        <v>-1470212.0602454157</v>
      </c>
      <c r="AA16" s="962">
        <f t="shared" si="8"/>
        <v>-1470762.6709044017</v>
      </c>
      <c r="AB16" s="962">
        <f t="shared" si="8"/>
        <v>-1471525.5055295818</v>
      </c>
      <c r="AC16" s="962">
        <f t="shared" si="8"/>
        <v>-1472131.1268811177</v>
      </c>
      <c r="AD16" s="962">
        <f t="shared" si="8"/>
        <v>-1472720.3189069431</v>
      </c>
      <c r="AE16" s="962">
        <f t="shared" si="8"/>
        <v>-1473335.4033433762</v>
      </c>
      <c r="AF16" s="962">
        <f t="shared" si="8"/>
        <v>-1473706.477100356</v>
      </c>
      <c r="AG16" s="963">
        <f t="shared" si="7"/>
        <v>-42912486.362427264</v>
      </c>
    </row>
    <row r="17" spans="1:35" ht="20.25" customHeight="1">
      <c r="B17" s="477" t="s">
        <v>215</v>
      </c>
      <c r="C17" s="575">
        <f>-'16 R1 OPEX'!D5</f>
        <v>-550936.15119900031</v>
      </c>
      <c r="D17" s="575">
        <f>-'16 R1 OPEX'!D6</f>
        <v>-520720.01266633545</v>
      </c>
      <c r="E17" s="575">
        <f>-'16 R1 OPEX'!D7</f>
        <v>-477268.91245393129</v>
      </c>
      <c r="F17" s="575">
        <f>-'16 R1 OPEX'!D8</f>
        <v>-344396.7516912701</v>
      </c>
      <c r="G17" s="964">
        <f>-'16 R1 OPEX'!D9</f>
        <v>-453766.16256899503</v>
      </c>
      <c r="H17" s="964">
        <f>-'16 R1 OPEX'!D10</f>
        <v>-452504.37082250707</v>
      </c>
      <c r="I17" s="964">
        <f>-'16 R1 OPEX'!D11</f>
        <v>-446472.24784560606</v>
      </c>
      <c r="J17" s="964">
        <f>-'16 R1 OPEX'!D12</f>
        <v>-475713.8977125652</v>
      </c>
      <c r="K17" s="964">
        <f>-'16 R1 OPEX'!D13</f>
        <v>-483412.18706838228</v>
      </c>
      <c r="L17" s="964">
        <f>-'16 R1 OPEX'!D14</f>
        <v>-489442.6019993478</v>
      </c>
      <c r="M17" s="964">
        <f>-'16 R1 OPEX'!D15</f>
        <v>-490208.95603734476</v>
      </c>
      <c r="N17" s="964">
        <f>-'16 R1 OPEX'!D16</f>
        <v>-490920.5570620927</v>
      </c>
      <c r="O17" s="964">
        <f>-'16 R1 OPEX'!D17</f>
        <v>-491624.76348001952</v>
      </c>
      <c r="P17" s="964">
        <f>-'16 R1 OPEX'!D18</f>
        <v>-492328.96989794611</v>
      </c>
      <c r="Q17" s="964">
        <f>-'16 R1 OPEX'!D19</f>
        <v>-493033.1763158727</v>
      </c>
      <c r="R17" s="964">
        <f>-'16 R1 OPEX'!D20</f>
        <v>-493612.01936735166</v>
      </c>
      <c r="S17" s="964">
        <f>-'16 R1 OPEX'!D21</f>
        <v>-494186.17130256217</v>
      </c>
      <c r="T17" s="964">
        <f>-'16 R1 OPEX'!D22</f>
        <v>-494759.40497506119</v>
      </c>
      <c r="U17" s="964">
        <f>-'16 R1 OPEX'!D23</f>
        <v>-495332.63864756015</v>
      </c>
      <c r="V17" s="964">
        <f>-'16 R1 OPEX'!D24</f>
        <v>-495905.87232005922</v>
      </c>
      <c r="W17" s="964">
        <f>-'16 R1 OPEX'!D25</f>
        <v>-496595.18385540805</v>
      </c>
      <c r="X17" s="964">
        <f>-'16 R1 OPEX'!D26</f>
        <v>-497111.64190462325</v>
      </c>
      <c r="Y17" s="964">
        <f>-'16 R1 OPEX'!D27</f>
        <v>-497601.16502573498</v>
      </c>
      <c r="Z17" s="964">
        <f>-'16 R1 OPEX'!D28</f>
        <v>-498090.68814684672</v>
      </c>
      <c r="AA17" s="964">
        <f>-'16 R1 OPEX'!D29</f>
        <v>-498580.2112679584</v>
      </c>
      <c r="AB17" s="964">
        <f>-'16 R1 OPEX'!D30</f>
        <v>-499259.46152948157</v>
      </c>
      <c r="AC17" s="964">
        <f>-'16 R1 OPEX'!D31</f>
        <v>-499796.89372358366</v>
      </c>
      <c r="AD17" s="964">
        <f>-'16 R1 OPEX'!D32</f>
        <v>-500320.77892254677</v>
      </c>
      <c r="AE17" s="964">
        <f>-'16 R1 OPEX'!D33</f>
        <v>-500867.7180223316</v>
      </c>
      <c r="AF17" s="964">
        <f>-'16 R1 OPEX'!D34</f>
        <v>-501196.36969936022</v>
      </c>
      <c r="AG17" s="965">
        <f t="shared" si="7"/>
        <v>-14615965.937531687</v>
      </c>
      <c r="AI17" s="478"/>
    </row>
    <row r="18" spans="1:35" ht="20.25" customHeight="1">
      <c r="B18" s="477" t="s">
        <v>216</v>
      </c>
      <c r="C18" s="575">
        <f>-'16 R1 OPEX'!E5</f>
        <v>-17403.0139314964</v>
      </c>
      <c r="D18" s="575">
        <f>-'16 R1 OPEX'!E6</f>
        <v>-16416.846413093408</v>
      </c>
      <c r="E18" s="575">
        <f>-'16 R1 OPEX'!E7</f>
        <v>-15048.679461448424</v>
      </c>
      <c r="F18" s="575">
        <f>-'16 R1 OPEX'!E8</f>
        <v>-14145.078118748261</v>
      </c>
      <c r="G18" s="964">
        <f>-'16 R1 OPEX'!E9</f>
        <v>-14599.065768930037</v>
      </c>
      <c r="H18" s="964">
        <f>-'16 R1 OPEX'!E10</f>
        <v>-15057.798117373999</v>
      </c>
      <c r="I18" s="964">
        <f>-'16 R1 OPEX'!E11</f>
        <v>-15064.87973247327</v>
      </c>
      <c r="J18" s="964">
        <f>-'16 R1 OPEX'!E12</f>
        <v>-15072.495622356846</v>
      </c>
      <c r="K18" s="964">
        <f>-'16 R1 OPEX'!E13</f>
        <v>-15192.826253067265</v>
      </c>
      <c r="L18" s="964">
        <f>-'16 R1 OPEX'!E14</f>
        <v>-15347.122255394672</v>
      </c>
      <c r="M18" s="964">
        <f>-'16 R1 OPEX'!E15</f>
        <v>-15631.795172996442</v>
      </c>
      <c r="N18" s="964">
        <f>-'16 R1 OPEX'!E16</f>
        <v>-16078.51764681211</v>
      </c>
      <c r="O18" s="964">
        <f>-'16 R1 OPEX'!E17</f>
        <v>-16101.57888608165</v>
      </c>
      <c r="P18" s="964">
        <f>-'16 R1 OPEX'!E18</f>
        <v>-16124.640125351203</v>
      </c>
      <c r="Q18" s="964">
        <f>-'16 R1 OPEX'!E19</f>
        <v>-16147.701364620751</v>
      </c>
      <c r="R18" s="964">
        <f>-'16 R1 OPEX'!E20</f>
        <v>-16166.143434356836</v>
      </c>
      <c r="S18" s="964">
        <f>-'16 R1 OPEX'!E21</f>
        <v>-16184.911737817845</v>
      </c>
      <c r="T18" s="964">
        <f>-'16 R1 OPEX'!E22</f>
        <v>-16203.680041278865</v>
      </c>
      <c r="U18" s="964">
        <f>-'16 R1 OPEX'!E23</f>
        <v>-16222.448344739874</v>
      </c>
      <c r="V18" s="964">
        <f>-'16 R1 OPEX'!E24</f>
        <v>-16241.216648200887</v>
      </c>
      <c r="W18" s="964">
        <f>-'16 R1 OPEX'!E25</f>
        <v>-16264.319313534354</v>
      </c>
      <c r="X18" s="964">
        <f>-'16 R1 OPEX'!E26</f>
        <v>-16280.34814305808</v>
      </c>
      <c r="Y18" s="964">
        <f>-'16 R1 OPEX'!E27</f>
        <v>-16296.376972581807</v>
      </c>
      <c r="Z18" s="964">
        <f>-'16 R1 OPEX'!E28</f>
        <v>-16312.405802105539</v>
      </c>
      <c r="AA18" s="964">
        <f>-'16 R1 OPEX'!E29</f>
        <v>-16328.434631629261</v>
      </c>
      <c r="AB18" s="964">
        <f>-'16 R1 OPEX'!E30</f>
        <v>-16351.537299443749</v>
      </c>
      <c r="AC18" s="964">
        <f>-'16 R1 OPEX'!E31</f>
        <v>-16368.34292048484</v>
      </c>
      <c r="AD18" s="964">
        <f>-'16 R1 OPEX'!E32</f>
        <v>-16385.557657312653</v>
      </c>
      <c r="AE18" s="964">
        <f>-'16 R1 OPEX'!E33</f>
        <v>-16403.549179438916</v>
      </c>
      <c r="AF18" s="964">
        <f>-'16 R1 OPEX'!E34</f>
        <v>-16413.322066103116</v>
      </c>
      <c r="AG18" s="965">
        <f t="shared" si="7"/>
        <v>-477854.6330623313</v>
      </c>
      <c r="AI18" s="478"/>
    </row>
    <row r="19" spans="1:35" ht="20.25" customHeight="1">
      <c r="B19" s="477" t="s">
        <v>217</v>
      </c>
      <c r="C19" s="575">
        <f>-'16 R1 OPEX'!C5</f>
        <v>-245634.84</v>
      </c>
      <c r="D19" s="575">
        <f>-'16 R1 OPEX'!C6</f>
        <v>-450330.54</v>
      </c>
      <c r="E19" s="575">
        <f>-'16 R1 OPEX'!C7</f>
        <v>-655026.24</v>
      </c>
      <c r="F19" s="575">
        <f>-'16 R1 OPEX'!C8</f>
        <v>-736904.52</v>
      </c>
      <c r="G19" s="964">
        <f>-'16 R1 OPEX'!C9</f>
        <v>-553251.9</v>
      </c>
      <c r="H19" s="964">
        <f>-'16 R1 OPEX'!C10</f>
        <v>-553251.9</v>
      </c>
      <c r="I19" s="964">
        <f>-'16 R1 OPEX'!C11</f>
        <v>-553251.9</v>
      </c>
      <c r="J19" s="964">
        <f>-'16 R1 OPEX'!C12</f>
        <v>-553251.9</v>
      </c>
      <c r="K19" s="964">
        <f>-'16 R1 OPEX'!C13</f>
        <v>-553251.9</v>
      </c>
      <c r="L19" s="964">
        <f>-'16 R1 OPEX'!C14</f>
        <v>-553251.9</v>
      </c>
      <c r="M19" s="964">
        <f>-'16 R1 OPEX'!C15</f>
        <v>-553251.9</v>
      </c>
      <c r="N19" s="964">
        <f>-'16 R1 OPEX'!C16</f>
        <v>-553251.9</v>
      </c>
      <c r="O19" s="964">
        <f>-'16 R1 OPEX'!C17</f>
        <v>-553251.9</v>
      </c>
      <c r="P19" s="964">
        <f>-'16 R1 OPEX'!C18</f>
        <v>-553251.9</v>
      </c>
      <c r="Q19" s="964">
        <f>-'16 R1 OPEX'!C19</f>
        <v>-553251.9</v>
      </c>
      <c r="R19" s="964">
        <f>-'16 R1 OPEX'!C20</f>
        <v>-553251.9</v>
      </c>
      <c r="S19" s="964">
        <f>-'16 R1 OPEX'!C21</f>
        <v>-553251.9</v>
      </c>
      <c r="T19" s="964">
        <f>-'16 R1 OPEX'!C22</f>
        <v>-553251.9</v>
      </c>
      <c r="U19" s="964">
        <f>-'16 R1 OPEX'!C23</f>
        <v>-553251.9</v>
      </c>
      <c r="V19" s="964">
        <f>-'16 R1 OPEX'!C24</f>
        <v>-553251.9</v>
      </c>
      <c r="W19" s="964">
        <f>-'16 R1 OPEX'!C25</f>
        <v>-553251.9</v>
      </c>
      <c r="X19" s="964">
        <f>-'16 R1 OPEX'!C26</f>
        <v>-553251.9</v>
      </c>
      <c r="Y19" s="964">
        <f>-'16 R1 OPEX'!C27</f>
        <v>-553251.9</v>
      </c>
      <c r="Z19" s="964">
        <f>-'16 R1 OPEX'!C28</f>
        <v>-553251.9</v>
      </c>
      <c r="AA19" s="964">
        <f>-'16 R1 OPEX'!C29</f>
        <v>-553251.9</v>
      </c>
      <c r="AB19" s="964">
        <f>-'16 R1 OPEX'!C30</f>
        <v>-553251.9</v>
      </c>
      <c r="AC19" s="964">
        <f>-'16 R1 OPEX'!C31</f>
        <v>-553251.9</v>
      </c>
      <c r="AD19" s="964">
        <f>-'16 R1 OPEX'!C32</f>
        <v>-553251.9</v>
      </c>
      <c r="AE19" s="964">
        <f>-'16 R1 OPEX'!C33</f>
        <v>-553251.9</v>
      </c>
      <c r="AF19" s="964">
        <f>-'16 R1 OPEX'!C34</f>
        <v>-553251.9</v>
      </c>
      <c r="AG19" s="965">
        <f t="shared" si="7"/>
        <v>-16472445.540000008</v>
      </c>
      <c r="AI19" s="478"/>
    </row>
    <row r="20" spans="1:35" ht="20.25" customHeight="1">
      <c r="B20" s="477" t="s">
        <v>218</v>
      </c>
      <c r="C20" s="575">
        <f>-'16 R1 OPEX'!F5</f>
        <v>-243745.17914122643</v>
      </c>
      <c r="D20" s="575">
        <f>-'16 R1 OPEX'!F6</f>
        <v>-242859.11323662323</v>
      </c>
      <c r="E20" s="575">
        <f>-'16 R1 OPEX'!F7</f>
        <v>-299604.94187372486</v>
      </c>
      <c r="F20" s="575">
        <f>-'16 R1 OPEX'!F8</f>
        <v>-299283.41960704466</v>
      </c>
      <c r="G20" s="964">
        <f>-'16 R1 OPEX'!F9</f>
        <v>-350814.0451623681</v>
      </c>
      <c r="H20" s="964">
        <f>-'16 R1 OPEX'!F10</f>
        <v>-351352.02542474587</v>
      </c>
      <c r="I20" s="964">
        <f>-'16 R1 OPEX'!F11</f>
        <v>-351547.9489293131</v>
      </c>
      <c r="J20" s="964">
        <f>-'16 R1 OPEX'!F12</f>
        <v>-371729.4648631434</v>
      </c>
      <c r="K20" s="964">
        <f>-'16 R1 OPEX'!F13</f>
        <v>-387030.74461918877</v>
      </c>
      <c r="L20" s="964">
        <f>-'16 R1 OPEX'!F14</f>
        <v>-401658.00294591533</v>
      </c>
      <c r="M20" s="964">
        <f>-'16 R1 OPEX'!F15</f>
        <v>-401728.7150956777</v>
      </c>
      <c r="N20" s="964">
        <f>-'16 R1 OPEX'!F16</f>
        <v>-401794.78888514388</v>
      </c>
      <c r="O20" s="964">
        <f>-'16 R1 OPEX'!F17</f>
        <v>-401859.59436818259</v>
      </c>
      <c r="P20" s="964">
        <f>-'16 R1 OPEX'!F18</f>
        <v>-401924.39985122136</v>
      </c>
      <c r="Q20" s="964">
        <f>-'16 R1 OPEX'!F19</f>
        <v>-401989.20533426024</v>
      </c>
      <c r="R20" s="964">
        <f>-'16 R1 OPEX'!F20</f>
        <v>-402043.81998414529</v>
      </c>
      <c r="S20" s="964">
        <f>-'16 R1 OPEX'!F21</f>
        <v>-402096.74885431846</v>
      </c>
      <c r="T20" s="964">
        <f>-'16 R1 OPEX'!F22</f>
        <v>-402149.52022612467</v>
      </c>
      <c r="U20" s="964">
        <f>-'16 R1 OPEX'!F23</f>
        <v>-402302.29159793071</v>
      </c>
      <c r="V20" s="964">
        <f>-'16 R1 OPEX'!F24</f>
        <v>-402355.06296973687</v>
      </c>
      <c r="W20" s="964">
        <f>-'16 R1 OPEX'!F25</f>
        <v>-402417.270352769</v>
      </c>
      <c r="X20" s="964">
        <f>-'16 R1 OPEX'!F26</f>
        <v>-402466.94887976174</v>
      </c>
      <c r="Y20" s="964">
        <f>-'16 R1 OPEX'!F27</f>
        <v>-402512.00758811249</v>
      </c>
      <c r="Z20" s="964">
        <f>-'16 R1 OPEX'!F28</f>
        <v>-402557.06629646337</v>
      </c>
      <c r="AA20" s="964">
        <f>-'16 R1 OPEX'!F29</f>
        <v>-402602.12500481395</v>
      </c>
      <c r="AB20" s="964">
        <f>-'16 R1 OPEX'!F30</f>
        <v>-402662.60670065647</v>
      </c>
      <c r="AC20" s="964">
        <f>-'16 R1 OPEX'!F31</f>
        <v>-402713.99023704906</v>
      </c>
      <c r="AD20" s="964">
        <f>-'16 R1 OPEX'!F32</f>
        <v>-402762.08232708368</v>
      </c>
      <c r="AE20" s="964">
        <f>-'16 R1 OPEX'!F33</f>
        <v>-402812.23614160577</v>
      </c>
      <c r="AF20" s="964">
        <f>-'16 R1 OPEX'!F34</f>
        <v>-402844.88533489278</v>
      </c>
      <c r="AG20" s="965">
        <f t="shared" si="7"/>
        <v>-11346220.251833245</v>
      </c>
      <c r="AI20" s="478"/>
    </row>
    <row r="21" spans="1:35" ht="20.25" customHeight="1">
      <c r="A21" s="1112"/>
      <c r="B21" s="1113" t="s">
        <v>219</v>
      </c>
      <c r="C21" s="576">
        <f>-C12*0.01</f>
        <v>-18830.712192221039</v>
      </c>
      <c r="D21" s="576">
        <f t="shared" ref="D21:F21" si="9">-D12*0.01</f>
        <v>-23487.364306745756</v>
      </c>
      <c r="E21" s="576">
        <f t="shared" si="9"/>
        <v>-26078.466711710476</v>
      </c>
      <c r="F21" s="576">
        <f t="shared" si="9"/>
        <v>-26731.766493209947</v>
      </c>
      <c r="G21" s="1110">
        <f>-G12*0.0025</f>
        <v>-6861.3739602319802</v>
      </c>
      <c r="H21" s="1110">
        <f t="shared" ref="H21:AF21" si="10">-H12*0.0025</f>
        <v>-7604.7761635295928</v>
      </c>
      <c r="I21" s="1110">
        <f t="shared" si="10"/>
        <v>-8465.761771876194</v>
      </c>
      <c r="J21" s="1110">
        <f t="shared" si="10"/>
        <v>-9181.9810314832066</v>
      </c>
      <c r="K21" s="1110">
        <f t="shared" si="10"/>
        <v>-9268.3207266845402</v>
      </c>
      <c r="L21" s="1110">
        <f t="shared" si="10"/>
        <v>-9651.1129814122705</v>
      </c>
      <c r="M21" s="1110">
        <f t="shared" si="10"/>
        <v>-10094.817897970592</v>
      </c>
      <c r="N21" s="1110">
        <f t="shared" si="10"/>
        <v>-10763.315781988558</v>
      </c>
      <c r="O21" s="1110">
        <f t="shared" si="10"/>
        <v>-10815.55362789125</v>
      </c>
      <c r="P21" s="1110">
        <f t="shared" si="10"/>
        <v>-10831.101893748926</v>
      </c>
      <c r="Q21" s="1110">
        <f t="shared" si="10"/>
        <v>-10846.650159606608</v>
      </c>
      <c r="R21" s="1110">
        <f t="shared" si="10"/>
        <v>-10860.974124456663</v>
      </c>
      <c r="S21" s="1110">
        <f t="shared" si="10"/>
        <v>-10874.002400485251</v>
      </c>
      <c r="T21" s="1110">
        <f t="shared" si="10"/>
        <v>-10886.959288699982</v>
      </c>
      <c r="U21" s="1110">
        <f t="shared" si="10"/>
        <v>-10899.916176914709</v>
      </c>
      <c r="V21" s="1110">
        <f t="shared" si="10"/>
        <v>-10911.648764121821</v>
      </c>
      <c r="W21" s="1110">
        <f t="shared" si="10"/>
        <v>-10925.758565530323</v>
      </c>
      <c r="X21" s="1110">
        <f t="shared" si="10"/>
        <v>-10940.011142566524</v>
      </c>
      <c r="Y21" s="1110">
        <f t="shared" si="10"/>
        <v>-10950.590816579876</v>
      </c>
      <c r="Z21" s="1110">
        <f t="shared" si="10"/>
        <v>-10960.956327151662</v>
      </c>
      <c r="AA21" s="1110">
        <f t="shared" si="10"/>
        <v>-10971.321837723444</v>
      </c>
      <c r="AB21" s="1110">
        <f t="shared" si="10"/>
        <v>-10984.135950310469</v>
      </c>
      <c r="AC21" s="1110">
        <f t="shared" si="10"/>
        <v>-10997.092838525195</v>
      </c>
      <c r="AD21" s="1110">
        <f t="shared" si="10"/>
        <v>-11008.825425732306</v>
      </c>
      <c r="AE21" s="1110">
        <f t="shared" si="10"/>
        <v>-11021.710926133184</v>
      </c>
      <c r="AF21" s="1110">
        <f t="shared" si="10"/>
        <v>-11030.994911325064</v>
      </c>
      <c r="AG21" s="1111">
        <f>SUM(C21:AF21)</f>
        <v>-363737.97519656736</v>
      </c>
      <c r="AI21" s="135"/>
    </row>
    <row r="22" spans="1:35" s="89" customFormat="1" ht="20.25" customHeight="1">
      <c r="B22" s="468" t="s">
        <v>220</v>
      </c>
      <c r="C22" s="576">
        <f>C12+C13+C16+C21</f>
        <v>344452.45949611819</v>
      </c>
      <c r="D22" s="576">
        <f t="shared" ref="D22:AF22" si="11">D12+D13+D16+D21</f>
        <v>725356.85352382308</v>
      </c>
      <c r="E22" s="576">
        <f t="shared" si="11"/>
        <v>761828.63043885329</v>
      </c>
      <c r="F22" s="576">
        <f t="shared" si="11"/>
        <v>885889.84541072126</v>
      </c>
      <c r="G22" s="962">
        <f t="shared" si="11"/>
        <v>1000726.4134629766</v>
      </c>
      <c r="H22" s="962">
        <f t="shared" si="11"/>
        <v>1275474.5974876599</v>
      </c>
      <c r="I22" s="962">
        <f t="shared" si="11"/>
        <v>1643450.4430852872</v>
      </c>
      <c r="J22" s="962">
        <f t="shared" si="11"/>
        <v>1878278.8824148588</v>
      </c>
      <c r="K22" s="962">
        <f t="shared" si="11"/>
        <v>1884461.5694320232</v>
      </c>
      <c r="L22" s="962">
        <f t="shared" si="11"/>
        <v>2028699.4098258421</v>
      </c>
      <c r="M22" s="962">
        <f t="shared" si="11"/>
        <v>2204529.6349842474</v>
      </c>
      <c r="N22" s="962">
        <f t="shared" si="11"/>
        <v>2470026.8927170369</v>
      </c>
      <c r="O22" s="962">
        <f t="shared" si="11"/>
        <v>2490031.0675325757</v>
      </c>
      <c r="P22" s="962">
        <f t="shared" si="11"/>
        <v>2495396.0361856408</v>
      </c>
      <c r="Q22" s="962">
        <f t="shared" si="11"/>
        <v>2500760.9331486304</v>
      </c>
      <c r="R22" s="962">
        <f t="shared" si="11"/>
        <v>2505758.2528723544</v>
      </c>
      <c r="S22" s="962">
        <f t="shared" si="11"/>
        <v>2510294.5599544412</v>
      </c>
      <c r="T22" s="962">
        <f t="shared" si="11"/>
        <v>2514780.2529452336</v>
      </c>
      <c r="U22" s="962">
        <f t="shared" si="11"/>
        <v>2519167.4671289306</v>
      </c>
      <c r="V22" s="962">
        <f t="shared" si="11"/>
        <v>2523168.1953806318</v>
      </c>
      <c r="W22" s="962">
        <f t="shared" si="11"/>
        <v>2527991.014124888</v>
      </c>
      <c r="X22" s="962">
        <f t="shared" si="11"/>
        <v>2533042.3627405032</v>
      </c>
      <c r="Y22" s="962">
        <f t="shared" si="11"/>
        <v>2536680.5955813341</v>
      </c>
      <c r="Z22" s="962">
        <f t="shared" si="11"/>
        <v>2540231.4032847509</v>
      </c>
      <c r="AA22" s="962">
        <f t="shared" si="11"/>
        <v>2543781.818489573</v>
      </c>
      <c r="AB22" s="962">
        <f t="shared" si="11"/>
        <v>2548047.7346442943</v>
      </c>
      <c r="AC22" s="962">
        <f t="shared" si="11"/>
        <v>2552611.9080628944</v>
      </c>
      <c r="AD22" s="962">
        <f t="shared" si="11"/>
        <v>2556665.8360815919</v>
      </c>
      <c r="AE22" s="962">
        <f t="shared" si="11"/>
        <v>2561147.0752628981</v>
      </c>
      <c r="AF22" s="962">
        <f t="shared" si="11"/>
        <v>2564439.9226051071</v>
      </c>
      <c r="AG22" s="963">
        <f t="shared" ref="AG22:AG28" si="12">SUM(C22:AF22)</f>
        <v>62627172.068305723</v>
      </c>
    </row>
    <row r="23" spans="1:35" s="89" customFormat="1" ht="20.25" customHeight="1">
      <c r="B23" s="468" t="s">
        <v>221</v>
      </c>
      <c r="C23" s="576"/>
      <c r="D23" s="576">
        <f>-'R1 DEPR'!AH11</f>
        <v>-19422.835502517231</v>
      </c>
      <c r="E23" s="576">
        <f>-'R1 DEPR'!AH12</f>
        <v>-31767.091368703179</v>
      </c>
      <c r="F23" s="576">
        <f>-'R1 DEPR'!AH13</f>
        <v>-42964.776963557146</v>
      </c>
      <c r="G23" s="962">
        <f>-'R1 DEPR'!AH14</f>
        <v>-96570.054420457061</v>
      </c>
      <c r="H23" s="962">
        <f>-'R1 DEPR'!AH15</f>
        <v>-304965.65942868049</v>
      </c>
      <c r="I23" s="962">
        <f>-'R1 DEPR'!AH16</f>
        <v>-335294.75656698272</v>
      </c>
      <c r="J23" s="962">
        <f>-'R1 DEPR'!AH17</f>
        <v>-409777.60554813145</v>
      </c>
      <c r="K23" s="962">
        <f>-'R1 DEPR'!AH18</f>
        <v>-463947.68852428254</v>
      </c>
      <c r="L23" s="962">
        <f>-'R1 DEPR'!AH19</f>
        <v>-555574.63704043371</v>
      </c>
      <c r="M23" s="962">
        <f>-'R1 DEPR'!AH20</f>
        <v>-605563.54056842171</v>
      </c>
      <c r="N23" s="962">
        <f>-'R1 DEPR'!AH21</f>
        <v>-745221.7237064041</v>
      </c>
      <c r="O23" s="962">
        <f>-'R1 DEPR'!AH22</f>
        <v>-875944.51290035935</v>
      </c>
      <c r="P23" s="962">
        <f>-'R1 DEPR'!AH23</f>
        <v>-879967.26312107325</v>
      </c>
      <c r="Q23" s="962">
        <f>-'R1 DEPR'!AH24</f>
        <v>-884241.43523058179</v>
      </c>
      <c r="R23" s="962">
        <f>-'R1 DEPR'!AH25</f>
        <v>-888800.5521473909</v>
      </c>
      <c r="S23" s="962">
        <f>-'R1 DEPR'!AH26</f>
        <v>-893307.60598682927</v>
      </c>
      <c r="T23" s="962">
        <f>-'R1 DEPR'!AH27</f>
        <v>-898161.35627545521</v>
      </c>
      <c r="U23" s="962">
        <f>-'R1 DEPR'!AH28</f>
        <v>-903419.58575479989</v>
      </c>
      <c r="V23" s="962">
        <f>-'R1 DEPR'!AH29</f>
        <v>-909155.83609590319</v>
      </c>
      <c r="W23" s="962">
        <f>-'R1 DEPR'!AH30</f>
        <v>-915465.71147111687</v>
      </c>
      <c r="X23" s="962">
        <f>-'R1 DEPR'!AH31</f>
        <v>-923109.46188802097</v>
      </c>
      <c r="Y23" s="962">
        <f>-'R1 DEPR'!AH32</f>
        <v>-930539.30610703805</v>
      </c>
      <c r="Z23" s="962">
        <f>-'R1 DEPR'!AH33</f>
        <v>-939030.55664305761</v>
      </c>
      <c r="AA23" s="962">
        <f>-'R1 DEPR'!AH34</f>
        <v>-948937.01560174709</v>
      </c>
      <c r="AB23" s="962">
        <f>-'R1 DEPR'!AH35</f>
        <v>-960824.76635217445</v>
      </c>
      <c r="AC23" s="962">
        <f>-'R1 DEPR'!AH36</f>
        <v>-978023.20479020861</v>
      </c>
      <c r="AD23" s="962">
        <f>-'R1 DEPR'!AH37</f>
        <v>-998107.45604092081</v>
      </c>
      <c r="AE23" s="962">
        <f>-'R1 DEPR'!AH38</f>
        <v>-1028640.8329169891</v>
      </c>
      <c r="AF23" s="962">
        <f>-'R1 DEPR'!AH39</f>
        <v>-1150372.8346658584</v>
      </c>
      <c r="AG23" s="963">
        <f t="shared" si="12"/>
        <v>-20517119.663628098</v>
      </c>
    </row>
    <row r="24" spans="1:35" ht="20.25" customHeight="1">
      <c r="B24" s="468" t="s">
        <v>222</v>
      </c>
      <c r="C24" s="576">
        <f>C22+C23</f>
        <v>344452.45949611819</v>
      </c>
      <c r="D24" s="576">
        <f t="shared" ref="D24:AF24" si="13">D22+D23</f>
        <v>705934.01802130591</v>
      </c>
      <c r="E24" s="576">
        <f t="shared" si="13"/>
        <v>730061.53907015012</v>
      </c>
      <c r="F24" s="576">
        <f t="shared" si="13"/>
        <v>842925.06844716414</v>
      </c>
      <c r="G24" s="962">
        <f t="shared" si="13"/>
        <v>904156.35904251947</v>
      </c>
      <c r="H24" s="962">
        <f t="shared" si="13"/>
        <v>970508.93805897934</v>
      </c>
      <c r="I24" s="962">
        <f t="shared" si="13"/>
        <v>1308155.6865183045</v>
      </c>
      <c r="J24" s="962">
        <f t="shared" si="13"/>
        <v>1468501.2768667273</v>
      </c>
      <c r="K24" s="962">
        <f t="shared" si="13"/>
        <v>1420513.8809077407</v>
      </c>
      <c r="L24" s="962">
        <f t="shared" si="13"/>
        <v>1473124.7727854084</v>
      </c>
      <c r="M24" s="962">
        <f t="shared" si="13"/>
        <v>1598966.0944158258</v>
      </c>
      <c r="N24" s="962">
        <f t="shared" si="13"/>
        <v>1724805.1690106327</v>
      </c>
      <c r="O24" s="962">
        <f t="shared" si="13"/>
        <v>1614086.5546322162</v>
      </c>
      <c r="P24" s="962">
        <f t="shared" si="13"/>
        <v>1615428.7730645677</v>
      </c>
      <c r="Q24" s="962">
        <f t="shared" si="13"/>
        <v>1616519.4979180486</v>
      </c>
      <c r="R24" s="962">
        <f t="shared" si="13"/>
        <v>1616957.7007249636</v>
      </c>
      <c r="S24" s="962">
        <f t="shared" si="13"/>
        <v>1616986.9539676118</v>
      </c>
      <c r="T24" s="962">
        <f t="shared" si="13"/>
        <v>1616618.8966697785</v>
      </c>
      <c r="U24" s="962">
        <f t="shared" si="13"/>
        <v>1615747.8813741307</v>
      </c>
      <c r="V24" s="962">
        <f t="shared" si="13"/>
        <v>1614012.3592847288</v>
      </c>
      <c r="W24" s="962">
        <f t="shared" si="13"/>
        <v>1612525.3026537711</v>
      </c>
      <c r="X24" s="962">
        <f t="shared" si="13"/>
        <v>1609932.9008524823</v>
      </c>
      <c r="Y24" s="962">
        <f t="shared" si="13"/>
        <v>1606141.2894742959</v>
      </c>
      <c r="Z24" s="962">
        <f t="shared" si="13"/>
        <v>1601200.8466416933</v>
      </c>
      <c r="AA24" s="962">
        <f t="shared" si="13"/>
        <v>1594844.8028878258</v>
      </c>
      <c r="AB24" s="962">
        <f t="shared" si="13"/>
        <v>1587222.9682921199</v>
      </c>
      <c r="AC24" s="962">
        <f t="shared" si="13"/>
        <v>1574588.7032726859</v>
      </c>
      <c r="AD24" s="962">
        <f t="shared" si="13"/>
        <v>1558558.3800406712</v>
      </c>
      <c r="AE24" s="962">
        <f t="shared" si="13"/>
        <v>1532506.2423459091</v>
      </c>
      <c r="AF24" s="962">
        <f t="shared" si="13"/>
        <v>1414067.0879392487</v>
      </c>
      <c r="AG24" s="963">
        <f t="shared" si="12"/>
        <v>42110052.404677615</v>
      </c>
    </row>
    <row r="25" spans="1:35" ht="20.25" customHeight="1">
      <c r="B25" s="468" t="s">
        <v>223</v>
      </c>
      <c r="C25" s="576">
        <f>C26+C27</f>
        <v>0</v>
      </c>
      <c r="D25" s="576">
        <f t="shared" ref="D25:AF25" si="14">D26+D27</f>
        <v>-216017.566127244</v>
      </c>
      <c r="E25" s="576">
        <f t="shared" si="14"/>
        <v>-224220.92328385104</v>
      </c>
      <c r="F25" s="576">
        <f t="shared" si="14"/>
        <v>-262594.52327203582</v>
      </c>
      <c r="G25" s="962">
        <f t="shared" si="14"/>
        <v>-283413.16207445663</v>
      </c>
      <c r="H25" s="962">
        <f t="shared" si="14"/>
        <v>-305973.03894005297</v>
      </c>
      <c r="I25" s="962">
        <f t="shared" si="14"/>
        <v>-420772.9334162235</v>
      </c>
      <c r="J25" s="962">
        <f t="shared" si="14"/>
        <v>-475290.4341346873</v>
      </c>
      <c r="K25" s="962">
        <f t="shared" si="14"/>
        <v>-458974.71950863185</v>
      </c>
      <c r="L25" s="962">
        <f t="shared" si="14"/>
        <v>-476862.42274703889</v>
      </c>
      <c r="M25" s="962">
        <f t="shared" si="14"/>
        <v>-519648.47210138076</v>
      </c>
      <c r="N25" s="962">
        <f t="shared" si="14"/>
        <v>-562433.75746361515</v>
      </c>
      <c r="O25" s="962">
        <f t="shared" si="14"/>
        <v>-524789.42857495346</v>
      </c>
      <c r="P25" s="962">
        <f t="shared" si="14"/>
        <v>-525245.78284195298</v>
      </c>
      <c r="Q25" s="962">
        <f t="shared" si="14"/>
        <v>-525616.62929213652</v>
      </c>
      <c r="R25" s="962">
        <f t="shared" si="14"/>
        <v>-525765.61824648757</v>
      </c>
      <c r="S25" s="962">
        <f t="shared" si="14"/>
        <v>-525775.564348988</v>
      </c>
      <c r="T25" s="962">
        <f t="shared" si="14"/>
        <v>-525650.42486772465</v>
      </c>
      <c r="U25" s="962">
        <f t="shared" si="14"/>
        <v>-525354.27966720436</v>
      </c>
      <c r="V25" s="962">
        <f t="shared" si="14"/>
        <v>-524764.20215680776</v>
      </c>
      <c r="W25" s="962">
        <f t="shared" si="14"/>
        <v>-524258.60290228215</v>
      </c>
      <c r="X25" s="962">
        <f t="shared" si="14"/>
        <v>-523377.18628984399</v>
      </c>
      <c r="Y25" s="962">
        <f t="shared" si="14"/>
        <v>-522088.0384212606</v>
      </c>
      <c r="Z25" s="962">
        <f t="shared" si="14"/>
        <v>-520408.2878581757</v>
      </c>
      <c r="AA25" s="962">
        <f t="shared" si="14"/>
        <v>-518247.23298186075</v>
      </c>
      <c r="AB25" s="962">
        <f t="shared" si="14"/>
        <v>-515655.80921932077</v>
      </c>
      <c r="AC25" s="962">
        <f t="shared" si="14"/>
        <v>-511360.15911271318</v>
      </c>
      <c r="AD25" s="962">
        <f t="shared" si="14"/>
        <v>-505909.84921382822</v>
      </c>
      <c r="AE25" s="962">
        <f t="shared" si="14"/>
        <v>-497052.12239760906</v>
      </c>
      <c r="AF25" s="962">
        <f t="shared" si="14"/>
        <v>-456782.80989934452</v>
      </c>
      <c r="AG25" s="963">
        <f t="shared" si="12"/>
        <v>-13504303.981361708</v>
      </c>
    </row>
    <row r="26" spans="1:35" s="89" customFormat="1" ht="20.25" customHeight="1">
      <c r="B26" s="477" t="s">
        <v>224</v>
      </c>
      <c r="C26" s="575"/>
      <c r="D26" s="575">
        <f t="shared" ref="D26:AF26" si="15">-((D24*0.15)+((D24-240000)*0.1))</f>
        <v>-152483.50450532648</v>
      </c>
      <c r="E26" s="575">
        <f t="shared" si="15"/>
        <v>-158515.38476753753</v>
      </c>
      <c r="F26" s="575">
        <f t="shared" si="15"/>
        <v>-186731.26711179104</v>
      </c>
      <c r="G26" s="964">
        <f t="shared" si="15"/>
        <v>-202039.08976062987</v>
      </c>
      <c r="H26" s="964">
        <f t="shared" si="15"/>
        <v>-218627.23451474484</v>
      </c>
      <c r="I26" s="964">
        <f t="shared" si="15"/>
        <v>-303038.92162957613</v>
      </c>
      <c r="J26" s="964">
        <f t="shared" si="15"/>
        <v>-343125.31921668182</v>
      </c>
      <c r="K26" s="964">
        <f t="shared" si="15"/>
        <v>-331128.47022693517</v>
      </c>
      <c r="L26" s="964">
        <f t="shared" si="15"/>
        <v>-344281.19319635211</v>
      </c>
      <c r="M26" s="964">
        <f t="shared" si="15"/>
        <v>-375741.52360395645</v>
      </c>
      <c r="N26" s="964">
        <f t="shared" si="15"/>
        <v>-407201.29225265817</v>
      </c>
      <c r="O26" s="964">
        <f t="shared" si="15"/>
        <v>-379521.63865805406</v>
      </c>
      <c r="P26" s="964">
        <f t="shared" si="15"/>
        <v>-379857.19326614193</v>
      </c>
      <c r="Q26" s="964">
        <f t="shared" si="15"/>
        <v>-380129.8744795121</v>
      </c>
      <c r="R26" s="964">
        <f t="shared" si="15"/>
        <v>-380239.42518124089</v>
      </c>
      <c r="S26" s="964">
        <f t="shared" si="15"/>
        <v>-380246.73849190294</v>
      </c>
      <c r="T26" s="964">
        <f t="shared" si="15"/>
        <v>-380154.72416744463</v>
      </c>
      <c r="U26" s="964">
        <f t="shared" si="15"/>
        <v>-379936.97034353262</v>
      </c>
      <c r="V26" s="964">
        <f t="shared" si="15"/>
        <v>-379503.08982118219</v>
      </c>
      <c r="W26" s="964">
        <f t="shared" si="15"/>
        <v>-379131.32566344272</v>
      </c>
      <c r="X26" s="964">
        <f t="shared" si="15"/>
        <v>-378483.22521312058</v>
      </c>
      <c r="Y26" s="964">
        <f t="shared" si="15"/>
        <v>-377535.32236857398</v>
      </c>
      <c r="Z26" s="964">
        <f t="shared" si="15"/>
        <v>-376300.21166042332</v>
      </c>
      <c r="AA26" s="964">
        <f t="shared" si="15"/>
        <v>-374711.20072195644</v>
      </c>
      <c r="AB26" s="964">
        <f t="shared" si="15"/>
        <v>-372805.74207302998</v>
      </c>
      <c r="AC26" s="964">
        <f t="shared" si="15"/>
        <v>-369647.17581817147</v>
      </c>
      <c r="AD26" s="964">
        <f t="shared" si="15"/>
        <v>-365639.5950101678</v>
      </c>
      <c r="AE26" s="964">
        <f t="shared" si="15"/>
        <v>-359126.56058647728</v>
      </c>
      <c r="AF26" s="964">
        <f t="shared" si="15"/>
        <v>-329516.77198481216</v>
      </c>
      <c r="AG26" s="963">
        <f t="shared" si="12"/>
        <v>-9745399.9862953778</v>
      </c>
    </row>
    <row r="27" spans="1:35" s="89" customFormat="1" ht="20.25" customHeight="1">
      <c r="B27" s="477" t="s">
        <v>225</v>
      </c>
      <c r="C27" s="575"/>
      <c r="D27" s="575">
        <f t="shared" ref="D27:AF27" si="16">-(D24*0.09)</f>
        <v>-63534.061621917528</v>
      </c>
      <c r="E27" s="575">
        <f t="shared" si="16"/>
        <v>-65705.538516313507</v>
      </c>
      <c r="F27" s="575">
        <f t="shared" si="16"/>
        <v>-75863.256160244768</v>
      </c>
      <c r="G27" s="964">
        <f t="shared" si="16"/>
        <v>-81374.072313826749</v>
      </c>
      <c r="H27" s="964">
        <f t="shared" si="16"/>
        <v>-87345.804425308132</v>
      </c>
      <c r="I27" s="964">
        <f t="shared" si="16"/>
        <v>-117734.0117866474</v>
      </c>
      <c r="J27" s="964">
        <f t="shared" si="16"/>
        <v>-132165.11491800545</v>
      </c>
      <c r="K27" s="964">
        <f t="shared" si="16"/>
        <v>-127846.24928169666</v>
      </c>
      <c r="L27" s="964">
        <f t="shared" si="16"/>
        <v>-132581.22955068675</v>
      </c>
      <c r="M27" s="964">
        <f t="shared" si="16"/>
        <v>-143906.94849742431</v>
      </c>
      <c r="N27" s="964">
        <f t="shared" si="16"/>
        <v>-155232.46521095693</v>
      </c>
      <c r="O27" s="964">
        <f t="shared" si="16"/>
        <v>-145267.78991689946</v>
      </c>
      <c r="P27" s="964">
        <f t="shared" si="16"/>
        <v>-145388.58957581109</v>
      </c>
      <c r="Q27" s="964">
        <f t="shared" si="16"/>
        <v>-145486.75481262436</v>
      </c>
      <c r="R27" s="964">
        <f t="shared" si="16"/>
        <v>-145526.19306524671</v>
      </c>
      <c r="S27" s="964">
        <f t="shared" si="16"/>
        <v>-145528.82585708506</v>
      </c>
      <c r="T27" s="964">
        <f t="shared" si="16"/>
        <v>-145495.70070028005</v>
      </c>
      <c r="U27" s="964">
        <f t="shared" si="16"/>
        <v>-145417.30932367177</v>
      </c>
      <c r="V27" s="964">
        <f t="shared" si="16"/>
        <v>-145261.11233562557</v>
      </c>
      <c r="W27" s="964">
        <f t="shared" si="16"/>
        <v>-145127.27723883939</v>
      </c>
      <c r="X27" s="964">
        <f t="shared" si="16"/>
        <v>-144893.96107672341</v>
      </c>
      <c r="Y27" s="964">
        <f t="shared" si="16"/>
        <v>-144552.71605268662</v>
      </c>
      <c r="Z27" s="964">
        <f t="shared" si="16"/>
        <v>-144108.07619775238</v>
      </c>
      <c r="AA27" s="964">
        <f t="shared" si="16"/>
        <v>-143536.03225990431</v>
      </c>
      <c r="AB27" s="964">
        <f t="shared" si="16"/>
        <v>-142850.06714629079</v>
      </c>
      <c r="AC27" s="964">
        <f t="shared" si="16"/>
        <v>-141712.98329454171</v>
      </c>
      <c r="AD27" s="964">
        <f t="shared" si="16"/>
        <v>-140270.25420366041</v>
      </c>
      <c r="AE27" s="964">
        <f t="shared" si="16"/>
        <v>-137925.5618111318</v>
      </c>
      <c r="AF27" s="964">
        <f t="shared" si="16"/>
        <v>-127266.03791453237</v>
      </c>
      <c r="AG27" s="963">
        <f t="shared" si="12"/>
        <v>-3758903.9950663359</v>
      </c>
    </row>
    <row r="28" spans="1:35" s="89" customFormat="1" ht="20.25" customHeight="1" thickBot="1">
      <c r="B28" s="471" t="s">
        <v>226</v>
      </c>
      <c r="C28" s="878">
        <f>C24+C25</f>
        <v>344452.45949611819</v>
      </c>
      <c r="D28" s="878">
        <f t="shared" ref="D28:AF28" si="17">D24+D25</f>
        <v>489916.45189406187</v>
      </c>
      <c r="E28" s="878">
        <f t="shared" si="17"/>
        <v>505840.61578629911</v>
      </c>
      <c r="F28" s="878">
        <f t="shared" si="17"/>
        <v>580330.54517512838</v>
      </c>
      <c r="G28" s="966">
        <f t="shared" si="17"/>
        <v>620743.19696806278</v>
      </c>
      <c r="H28" s="966">
        <f t="shared" si="17"/>
        <v>664535.89911892638</v>
      </c>
      <c r="I28" s="966">
        <f t="shared" si="17"/>
        <v>887382.75310208101</v>
      </c>
      <c r="J28" s="966">
        <f t="shared" si="17"/>
        <v>993210.84273203998</v>
      </c>
      <c r="K28" s="966">
        <f t="shared" si="17"/>
        <v>961539.16139910882</v>
      </c>
      <c r="L28" s="966">
        <f t="shared" si="17"/>
        <v>996262.35003836954</v>
      </c>
      <c r="M28" s="966">
        <f t="shared" si="17"/>
        <v>1079317.622314445</v>
      </c>
      <c r="N28" s="966">
        <f t="shared" si="17"/>
        <v>1162371.4115470175</v>
      </c>
      <c r="O28" s="966">
        <f t="shared" si="17"/>
        <v>1089297.1260572628</v>
      </c>
      <c r="P28" s="966">
        <f t="shared" si="17"/>
        <v>1090182.9902226147</v>
      </c>
      <c r="Q28" s="966">
        <f t="shared" si="17"/>
        <v>1090902.8686259121</v>
      </c>
      <c r="R28" s="966">
        <f t="shared" si="17"/>
        <v>1091192.082478476</v>
      </c>
      <c r="S28" s="966">
        <f t="shared" si="17"/>
        <v>1091211.3896186238</v>
      </c>
      <c r="T28" s="966">
        <f t="shared" si="17"/>
        <v>1090968.471802054</v>
      </c>
      <c r="U28" s="966">
        <f t="shared" si="17"/>
        <v>1090393.6017069262</v>
      </c>
      <c r="V28" s="966">
        <f t="shared" si="17"/>
        <v>1089248.157127921</v>
      </c>
      <c r="W28" s="966">
        <f t="shared" si="17"/>
        <v>1088266.6997514889</v>
      </c>
      <c r="X28" s="966">
        <f t="shared" si="17"/>
        <v>1086555.7145626382</v>
      </c>
      <c r="Y28" s="966">
        <f t="shared" si="17"/>
        <v>1084053.2510530353</v>
      </c>
      <c r="Z28" s="966">
        <f t="shared" si="17"/>
        <v>1080792.5587835177</v>
      </c>
      <c r="AA28" s="966">
        <f t="shared" si="17"/>
        <v>1076597.5699059651</v>
      </c>
      <c r="AB28" s="966">
        <f t="shared" si="17"/>
        <v>1071567.1590727991</v>
      </c>
      <c r="AC28" s="966">
        <f t="shared" si="17"/>
        <v>1063228.5441599726</v>
      </c>
      <c r="AD28" s="966">
        <f t="shared" si="17"/>
        <v>1052648.5308268429</v>
      </c>
      <c r="AE28" s="966">
        <f t="shared" si="17"/>
        <v>1035454.1199483001</v>
      </c>
      <c r="AF28" s="966">
        <f t="shared" si="17"/>
        <v>957284.27803990408</v>
      </c>
      <c r="AG28" s="967">
        <f t="shared" si="12"/>
        <v>28605748.423315916</v>
      </c>
      <c r="AH28" s="136"/>
    </row>
    <row r="30" spans="1:35" s="135" customFormat="1">
      <c r="C30" s="135">
        <f>C24*0.15</f>
        <v>51667.868924417729</v>
      </c>
      <c r="D30" s="135">
        <f t="shared" ref="D30:AF30" si="18">D24*0.15</f>
        <v>105890.10270319588</v>
      </c>
      <c r="E30" s="135">
        <f t="shared" si="18"/>
        <v>109509.23086052251</v>
      </c>
      <c r="F30" s="135">
        <f t="shared" si="18"/>
        <v>126438.76026707461</v>
      </c>
      <c r="G30" s="135">
        <f t="shared" si="18"/>
        <v>135623.45385637792</v>
      </c>
      <c r="H30" s="135">
        <f t="shared" si="18"/>
        <v>145576.3407088469</v>
      </c>
      <c r="I30" s="135">
        <f t="shared" si="18"/>
        <v>196223.35297774567</v>
      </c>
      <c r="J30" s="135">
        <f t="shared" si="18"/>
        <v>220275.19153000909</v>
      </c>
      <c r="K30" s="135">
        <f t="shared" si="18"/>
        <v>213077.0821361611</v>
      </c>
      <c r="L30" s="135">
        <f t="shared" si="18"/>
        <v>220968.71591781126</v>
      </c>
      <c r="M30" s="135">
        <f t="shared" si="18"/>
        <v>239844.91416237387</v>
      </c>
      <c r="N30" s="135">
        <f t="shared" si="18"/>
        <v>258720.7753515949</v>
      </c>
      <c r="O30" s="135">
        <f t="shared" si="18"/>
        <v>242112.98319483243</v>
      </c>
      <c r="P30" s="135">
        <f t="shared" si="18"/>
        <v>242314.31595968513</v>
      </c>
      <c r="Q30" s="135">
        <f t="shared" si="18"/>
        <v>242477.92468770727</v>
      </c>
      <c r="R30" s="135">
        <f t="shared" si="18"/>
        <v>242543.65510874451</v>
      </c>
      <c r="S30" s="135">
        <f t="shared" si="18"/>
        <v>242548.04309514177</v>
      </c>
      <c r="T30" s="135">
        <f t="shared" si="18"/>
        <v>242492.83450046676</v>
      </c>
      <c r="U30" s="135">
        <f t="shared" si="18"/>
        <v>242362.18220611959</v>
      </c>
      <c r="V30" s="135">
        <f t="shared" si="18"/>
        <v>242101.8538927093</v>
      </c>
      <c r="W30" s="135">
        <f t="shared" si="18"/>
        <v>241878.79539806565</v>
      </c>
      <c r="X30" s="135">
        <f t="shared" si="18"/>
        <v>241489.93512787233</v>
      </c>
      <c r="Y30" s="135">
        <f t="shared" si="18"/>
        <v>240921.19342114439</v>
      </c>
      <c r="Z30" s="135">
        <f t="shared" si="18"/>
        <v>240180.12699625397</v>
      </c>
      <c r="AA30" s="135">
        <f t="shared" si="18"/>
        <v>239226.72043317385</v>
      </c>
      <c r="AB30" s="135">
        <f t="shared" si="18"/>
        <v>238083.44524381799</v>
      </c>
      <c r="AC30" s="135">
        <f t="shared" si="18"/>
        <v>236188.30549090286</v>
      </c>
      <c r="AD30" s="135">
        <f t="shared" si="18"/>
        <v>233783.75700610067</v>
      </c>
      <c r="AE30" s="135">
        <f t="shared" si="18"/>
        <v>229875.93635188637</v>
      </c>
      <c r="AF30" s="135">
        <f t="shared" si="18"/>
        <v>212110.0631908873</v>
      </c>
    </row>
    <row r="31" spans="1:35" s="135" customFormat="1">
      <c r="C31" s="135">
        <f>(C24-240000)*0.1</f>
        <v>10445.245949611819</v>
      </c>
      <c r="D31" s="135">
        <f t="shared" ref="D31:AF31" si="19">(D24-240000)*0.1</f>
        <v>46593.401802130596</v>
      </c>
      <c r="E31" s="135">
        <f t="shared" si="19"/>
        <v>49006.153907015017</v>
      </c>
      <c r="F31" s="135">
        <f t="shared" si="19"/>
        <v>60292.506844716416</v>
      </c>
      <c r="G31" s="135">
        <f t="shared" si="19"/>
        <v>66415.635904251947</v>
      </c>
      <c r="H31" s="135">
        <f t="shared" si="19"/>
        <v>73050.89380589794</v>
      </c>
      <c r="I31" s="135">
        <f t="shared" si="19"/>
        <v>106815.56865183046</v>
      </c>
      <c r="J31" s="135">
        <f t="shared" si="19"/>
        <v>122850.12768667273</v>
      </c>
      <c r="K31" s="135">
        <f t="shared" si="19"/>
        <v>118051.38809077407</v>
      </c>
      <c r="L31" s="135">
        <f t="shared" si="19"/>
        <v>123312.47727854084</v>
      </c>
      <c r="M31" s="135">
        <f t="shared" si="19"/>
        <v>135896.60944158258</v>
      </c>
      <c r="N31" s="135">
        <f t="shared" si="19"/>
        <v>148480.51690106327</v>
      </c>
      <c r="O31" s="135">
        <f t="shared" si="19"/>
        <v>137408.65546322163</v>
      </c>
      <c r="P31" s="135">
        <f t="shared" si="19"/>
        <v>137542.87730645676</v>
      </c>
      <c r="Q31" s="135">
        <f t="shared" si="19"/>
        <v>137651.94979180486</v>
      </c>
      <c r="R31" s="135">
        <f t="shared" si="19"/>
        <v>137695.77007249635</v>
      </c>
      <c r="S31" s="135">
        <f t="shared" si="19"/>
        <v>137698.69539676118</v>
      </c>
      <c r="T31" s="135">
        <f t="shared" si="19"/>
        <v>137661.88966697786</v>
      </c>
      <c r="U31" s="135">
        <f t="shared" si="19"/>
        <v>137574.78813741307</v>
      </c>
      <c r="V31" s="135">
        <f t="shared" si="19"/>
        <v>137401.23592847289</v>
      </c>
      <c r="W31" s="135">
        <f t="shared" si="19"/>
        <v>137252.53026537711</v>
      </c>
      <c r="X31" s="135">
        <f t="shared" si="19"/>
        <v>136993.29008524824</v>
      </c>
      <c r="Y31" s="135">
        <f t="shared" si="19"/>
        <v>136614.12894742959</v>
      </c>
      <c r="Z31" s="135">
        <f t="shared" si="19"/>
        <v>136120.08466416932</v>
      </c>
      <c r="AA31" s="135">
        <f t="shared" si="19"/>
        <v>135484.48028878259</v>
      </c>
      <c r="AB31" s="135">
        <f t="shared" si="19"/>
        <v>134722.29682921199</v>
      </c>
      <c r="AC31" s="135">
        <f t="shared" si="19"/>
        <v>133458.87032726858</v>
      </c>
      <c r="AD31" s="135">
        <f t="shared" si="19"/>
        <v>131855.83800406713</v>
      </c>
      <c r="AE31" s="135">
        <f t="shared" si="19"/>
        <v>129250.62423459091</v>
      </c>
      <c r="AF31" s="135">
        <f t="shared" si="19"/>
        <v>117406.70879392487</v>
      </c>
    </row>
    <row r="32" spans="1:35" s="135" customFormat="1">
      <c r="C32" s="135">
        <f>C30+C31</f>
        <v>62113.114874029547</v>
      </c>
      <c r="D32" s="135">
        <f t="shared" ref="D32:AF32" si="20">D30+D31</f>
        <v>152483.50450532648</v>
      </c>
      <c r="E32" s="135">
        <f t="shared" si="20"/>
        <v>158515.38476753753</v>
      </c>
      <c r="F32" s="135">
        <f t="shared" si="20"/>
        <v>186731.26711179104</v>
      </c>
      <c r="G32" s="135">
        <f t="shared" si="20"/>
        <v>202039.08976062987</v>
      </c>
      <c r="H32" s="135">
        <f t="shared" si="20"/>
        <v>218627.23451474484</v>
      </c>
      <c r="I32" s="135">
        <f t="shared" si="20"/>
        <v>303038.92162957613</v>
      </c>
      <c r="J32" s="135">
        <f t="shared" si="20"/>
        <v>343125.31921668182</v>
      </c>
      <c r="K32" s="135">
        <f t="shared" si="20"/>
        <v>331128.47022693517</v>
      </c>
      <c r="L32" s="135">
        <f t="shared" si="20"/>
        <v>344281.19319635211</v>
      </c>
      <c r="M32" s="135">
        <f t="shared" si="20"/>
        <v>375741.52360395645</v>
      </c>
      <c r="N32" s="135">
        <f t="shared" si="20"/>
        <v>407201.29225265817</v>
      </c>
      <c r="O32" s="135">
        <f t="shared" si="20"/>
        <v>379521.63865805406</v>
      </c>
      <c r="P32" s="135">
        <f t="shared" si="20"/>
        <v>379857.19326614193</v>
      </c>
      <c r="Q32" s="135">
        <f t="shared" si="20"/>
        <v>380129.8744795121</v>
      </c>
      <c r="R32" s="135">
        <f t="shared" si="20"/>
        <v>380239.42518124089</v>
      </c>
      <c r="S32" s="135">
        <f t="shared" si="20"/>
        <v>380246.73849190294</v>
      </c>
      <c r="T32" s="135">
        <f t="shared" si="20"/>
        <v>380154.72416744463</v>
      </c>
      <c r="U32" s="135">
        <f t="shared" si="20"/>
        <v>379936.97034353262</v>
      </c>
      <c r="V32" s="135">
        <f t="shared" si="20"/>
        <v>379503.08982118219</v>
      </c>
      <c r="W32" s="135">
        <f t="shared" si="20"/>
        <v>379131.32566344272</v>
      </c>
      <c r="X32" s="135">
        <f t="shared" si="20"/>
        <v>378483.22521312058</v>
      </c>
      <c r="Y32" s="135">
        <f t="shared" si="20"/>
        <v>377535.32236857398</v>
      </c>
      <c r="Z32" s="135">
        <f t="shared" si="20"/>
        <v>376300.21166042332</v>
      </c>
      <c r="AA32" s="135">
        <f t="shared" si="20"/>
        <v>374711.20072195644</v>
      </c>
      <c r="AB32" s="135">
        <f t="shared" si="20"/>
        <v>372805.74207302998</v>
      </c>
      <c r="AC32" s="135">
        <f t="shared" si="20"/>
        <v>369647.17581817147</v>
      </c>
      <c r="AD32" s="135">
        <f t="shared" si="20"/>
        <v>365639.5950101678</v>
      </c>
      <c r="AE32" s="135">
        <f t="shared" si="20"/>
        <v>359126.56058647728</v>
      </c>
      <c r="AF32" s="135">
        <f t="shared" si="20"/>
        <v>329516.77198481216</v>
      </c>
    </row>
    <row r="34" spans="2:33">
      <c r="B34" s="41" t="str">
        <f>IF(SUM(C34:AF34)&gt;=1,"CHECK","OK")</f>
        <v>OK</v>
      </c>
      <c r="C34" s="41">
        <f t="shared" ref="C34:AF34" si="21">IF(C24&lt;=240000,1,0)</f>
        <v>0</v>
      </c>
      <c r="D34" s="41">
        <f t="shared" si="21"/>
        <v>0</v>
      </c>
      <c r="E34" s="41">
        <f t="shared" si="21"/>
        <v>0</v>
      </c>
      <c r="F34" s="41">
        <f t="shared" si="21"/>
        <v>0</v>
      </c>
      <c r="G34" s="41">
        <f t="shared" si="21"/>
        <v>0</v>
      </c>
      <c r="H34" s="41">
        <f t="shared" si="21"/>
        <v>0</v>
      </c>
      <c r="I34" s="41">
        <f t="shared" si="21"/>
        <v>0</v>
      </c>
      <c r="J34" s="41">
        <f t="shared" si="21"/>
        <v>0</v>
      </c>
      <c r="K34" s="41">
        <f t="shared" si="21"/>
        <v>0</v>
      </c>
      <c r="L34" s="41">
        <f t="shared" si="21"/>
        <v>0</v>
      </c>
      <c r="M34" s="41">
        <f t="shared" si="21"/>
        <v>0</v>
      </c>
      <c r="N34" s="41">
        <f t="shared" si="21"/>
        <v>0</v>
      </c>
      <c r="O34" s="41">
        <f t="shared" si="21"/>
        <v>0</v>
      </c>
      <c r="P34" s="41">
        <f t="shared" si="21"/>
        <v>0</v>
      </c>
      <c r="Q34" s="41">
        <f t="shared" si="21"/>
        <v>0</v>
      </c>
      <c r="R34" s="41">
        <f t="shared" si="21"/>
        <v>0</v>
      </c>
      <c r="S34" s="41">
        <f t="shared" si="21"/>
        <v>0</v>
      </c>
      <c r="T34" s="41">
        <f t="shared" si="21"/>
        <v>0</v>
      </c>
      <c r="U34" s="41">
        <f t="shared" si="21"/>
        <v>0</v>
      </c>
      <c r="V34" s="41">
        <f t="shared" si="21"/>
        <v>0</v>
      </c>
      <c r="W34" s="41">
        <f t="shared" si="21"/>
        <v>0</v>
      </c>
      <c r="X34" s="41">
        <f t="shared" si="21"/>
        <v>0</v>
      </c>
      <c r="Y34" s="41">
        <f t="shared" si="21"/>
        <v>0</v>
      </c>
      <c r="Z34" s="41">
        <f t="shared" si="21"/>
        <v>0</v>
      </c>
      <c r="AA34" s="41">
        <f t="shared" si="21"/>
        <v>0</v>
      </c>
      <c r="AB34" s="41">
        <f t="shared" si="21"/>
        <v>0</v>
      </c>
      <c r="AC34" s="41">
        <f t="shared" si="21"/>
        <v>0</v>
      </c>
      <c r="AD34" s="41">
        <f t="shared" si="21"/>
        <v>0</v>
      </c>
      <c r="AE34" s="41">
        <f t="shared" si="21"/>
        <v>0</v>
      </c>
      <c r="AF34" s="41">
        <f t="shared" si="21"/>
        <v>0</v>
      </c>
    </row>
    <row r="35" spans="2:33">
      <c r="C35" s="478"/>
      <c r="D35" s="478"/>
      <c r="E35" s="478"/>
      <c r="F35" s="478"/>
      <c r="G35" s="478"/>
      <c r="H35" s="478"/>
      <c r="I35" s="478"/>
      <c r="J35" s="478"/>
      <c r="K35" s="478"/>
      <c r="L35" s="478"/>
      <c r="M35" s="478"/>
      <c r="N35" s="478"/>
      <c r="O35" s="478"/>
      <c r="P35" s="478"/>
      <c r="Q35" s="478"/>
      <c r="R35" s="478"/>
      <c r="S35" s="478"/>
      <c r="T35" s="478"/>
      <c r="U35" s="478"/>
      <c r="V35" s="478"/>
      <c r="W35" s="478"/>
      <c r="X35" s="478"/>
      <c r="Y35" s="478"/>
      <c r="Z35" s="478"/>
      <c r="AA35" s="478"/>
      <c r="AB35" s="478"/>
      <c r="AC35" s="478"/>
      <c r="AD35" s="478"/>
      <c r="AE35" s="478"/>
      <c r="AF35" s="478"/>
      <c r="AG35" s="478"/>
    </row>
    <row r="37" spans="2:33" s="467" customFormat="1">
      <c r="C37" s="479"/>
      <c r="D37" s="479"/>
      <c r="E37" s="479"/>
      <c r="F37" s="479"/>
      <c r="G37" s="1146"/>
      <c r="H37" s="479"/>
      <c r="I37" s="479"/>
      <c r="J37" s="479"/>
      <c r="K37" s="479"/>
      <c r="L37" s="479"/>
      <c r="M37" s="479"/>
      <c r="N37" s="479"/>
      <c r="O37" s="479"/>
      <c r="P37" s="479"/>
      <c r="Q37" s="479"/>
      <c r="R37" s="479"/>
      <c r="S37" s="479"/>
      <c r="T37" s="479"/>
      <c r="U37" s="479"/>
      <c r="V37" s="479"/>
      <c r="W37" s="479"/>
      <c r="X37" s="479"/>
      <c r="Y37" s="479"/>
      <c r="Z37" s="479"/>
      <c r="AA37" s="479"/>
      <c r="AB37" s="479"/>
      <c r="AC37" s="479"/>
      <c r="AD37" s="479"/>
      <c r="AE37" s="479"/>
      <c r="AF37" s="479"/>
    </row>
    <row r="38" spans="2:33">
      <c r="C38" s="480"/>
      <c r="D38" s="480"/>
      <c r="E38" s="480"/>
      <c r="F38" s="480"/>
      <c r="G38" s="480"/>
      <c r="H38" s="110"/>
      <c r="I38" s="480"/>
      <c r="J38" s="480"/>
      <c r="K38" s="480"/>
      <c r="L38" s="480"/>
      <c r="M38" s="480"/>
      <c r="N38" s="480"/>
      <c r="O38" s="480"/>
      <c r="P38" s="480"/>
      <c r="Q38" s="480"/>
      <c r="R38" s="480"/>
      <c r="S38" s="480"/>
      <c r="T38" s="480"/>
      <c r="U38" s="480"/>
      <c r="V38" s="480"/>
      <c r="W38" s="480"/>
      <c r="X38" s="480"/>
      <c r="Y38" s="480"/>
      <c r="Z38" s="480"/>
      <c r="AA38" s="480"/>
      <c r="AB38" s="480"/>
      <c r="AC38" s="480"/>
      <c r="AD38" s="480"/>
      <c r="AE38" s="480"/>
      <c r="AF38" s="480"/>
      <c r="AG38" s="480"/>
    </row>
    <row r="39" spans="2:33">
      <c r="C39" s="480"/>
      <c r="D39" s="480"/>
      <c r="E39" s="480"/>
      <c r="F39" s="480"/>
      <c r="G39" s="480"/>
      <c r="H39" s="480"/>
      <c r="I39" s="480"/>
      <c r="J39" s="480"/>
      <c r="K39" s="480"/>
      <c r="L39" s="480"/>
      <c r="M39" s="480"/>
      <c r="N39" s="480"/>
      <c r="O39" s="480"/>
      <c r="P39" s="480"/>
      <c r="Q39" s="480"/>
      <c r="R39" s="480"/>
      <c r="S39" s="480"/>
      <c r="T39" s="480"/>
      <c r="U39" s="480"/>
      <c r="V39" s="480"/>
      <c r="W39" s="480"/>
      <c r="X39" s="480"/>
      <c r="Y39" s="480"/>
      <c r="Z39" s="480"/>
      <c r="AA39" s="480"/>
      <c r="AB39" s="480"/>
      <c r="AC39" s="480"/>
      <c r="AD39" s="480"/>
      <c r="AE39" s="480"/>
      <c r="AF39" s="480"/>
      <c r="AG39" s="480"/>
    </row>
    <row r="46" spans="2:33">
      <c r="AF46" s="41">
        <v>567.50879541981226</v>
      </c>
    </row>
    <row r="49" spans="32:32">
      <c r="AF49" s="41">
        <f>AF46*35%</f>
        <v>198.62807839693428</v>
      </c>
    </row>
  </sheetData>
  <conditionalFormatting sqref="B34">
    <cfRule type="cellIs" dxfId="5" priority="1" operator="notEqual">
      <formula>"OK"</formula>
    </cfRule>
  </conditionalFormatting>
  <printOptions horizontalCentered="1"/>
  <pageMargins left="0.98425196850393704" right="0.59055118110236227" top="1.9685039370078741" bottom="1.0629921259842521" header="0.39370078740157483" footer="0.39370078740157483"/>
  <pageSetup paperSize="8" scale="88" fitToWidth="3" orientation="landscape" r:id="rId1"/>
  <headerFooter alignWithMargins="0"/>
  <colBreaks count="2" manualBreakCount="2">
    <brk id="12" max="27" man="1"/>
    <brk id="22" max="27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039762-B09C-448B-84AF-989FC8CADE8C}">
  <sheetPr codeName="Planilha38">
    <tabColor theme="0"/>
  </sheetPr>
  <dimension ref="B1:AH54"/>
  <sheetViews>
    <sheetView showGridLines="0" topLeftCell="A2" zoomScaleNormal="100" workbookViewId="0">
      <selection activeCell="H30" sqref="H30"/>
    </sheetView>
  </sheetViews>
  <sheetFormatPr defaultColWidth="11.5703125" defaultRowHeight="12.75"/>
  <cols>
    <col min="1" max="1" width="2.7109375" style="157" customWidth="1"/>
    <col min="2" max="2" width="51.7109375" style="157" customWidth="1"/>
    <col min="3" max="32" width="13.42578125" style="157" customWidth="1"/>
    <col min="33" max="33" width="14.7109375" style="157" customWidth="1"/>
    <col min="34" max="34" width="2.7109375" style="157" customWidth="1"/>
    <col min="35" max="257" width="11.5703125" style="157"/>
    <col min="258" max="258" width="39.5703125" style="157" customWidth="1"/>
    <col min="259" max="259" width="11.42578125" style="157" bestFit="1" customWidth="1"/>
    <col min="260" max="260" width="11.42578125" style="157" customWidth="1"/>
    <col min="261" max="261" width="11.85546875" style="157" customWidth="1"/>
    <col min="262" max="287" width="0" style="157" hidden="1" customWidth="1"/>
    <col min="288" max="288" width="12" style="157" customWidth="1"/>
    <col min="289" max="289" width="12.7109375" style="157" customWidth="1"/>
    <col min="290" max="513" width="11.5703125" style="157"/>
    <col min="514" max="514" width="39.5703125" style="157" customWidth="1"/>
    <col min="515" max="515" width="11.42578125" style="157" bestFit="1" customWidth="1"/>
    <col min="516" max="516" width="11.42578125" style="157" customWidth="1"/>
    <col min="517" max="517" width="11.85546875" style="157" customWidth="1"/>
    <col min="518" max="543" width="0" style="157" hidden="1" customWidth="1"/>
    <col min="544" max="544" width="12" style="157" customWidth="1"/>
    <col min="545" max="545" width="12.7109375" style="157" customWidth="1"/>
    <col min="546" max="769" width="11.5703125" style="157"/>
    <col min="770" max="770" width="39.5703125" style="157" customWidth="1"/>
    <col min="771" max="771" width="11.42578125" style="157" bestFit="1" customWidth="1"/>
    <col min="772" max="772" width="11.42578125" style="157" customWidth="1"/>
    <col min="773" max="773" width="11.85546875" style="157" customWidth="1"/>
    <col min="774" max="799" width="0" style="157" hidden="1" customWidth="1"/>
    <col min="800" max="800" width="12" style="157" customWidth="1"/>
    <col min="801" max="801" width="12.7109375" style="157" customWidth="1"/>
    <col min="802" max="1025" width="11.5703125" style="157"/>
    <col min="1026" max="1026" width="39.5703125" style="157" customWidth="1"/>
    <col min="1027" max="1027" width="11.42578125" style="157" bestFit="1" customWidth="1"/>
    <col min="1028" max="1028" width="11.42578125" style="157" customWidth="1"/>
    <col min="1029" max="1029" width="11.85546875" style="157" customWidth="1"/>
    <col min="1030" max="1055" width="0" style="157" hidden="1" customWidth="1"/>
    <col min="1056" max="1056" width="12" style="157" customWidth="1"/>
    <col min="1057" max="1057" width="12.7109375" style="157" customWidth="1"/>
    <col min="1058" max="1281" width="11.5703125" style="157"/>
    <col min="1282" max="1282" width="39.5703125" style="157" customWidth="1"/>
    <col min="1283" max="1283" width="11.42578125" style="157" bestFit="1" customWidth="1"/>
    <col min="1284" max="1284" width="11.42578125" style="157" customWidth="1"/>
    <col min="1285" max="1285" width="11.85546875" style="157" customWidth="1"/>
    <col min="1286" max="1311" width="0" style="157" hidden="1" customWidth="1"/>
    <col min="1312" max="1312" width="12" style="157" customWidth="1"/>
    <col min="1313" max="1313" width="12.7109375" style="157" customWidth="1"/>
    <col min="1314" max="1537" width="11.5703125" style="157"/>
    <col min="1538" max="1538" width="39.5703125" style="157" customWidth="1"/>
    <col min="1539" max="1539" width="11.42578125" style="157" bestFit="1" customWidth="1"/>
    <col min="1540" max="1540" width="11.42578125" style="157" customWidth="1"/>
    <col min="1541" max="1541" width="11.85546875" style="157" customWidth="1"/>
    <col min="1542" max="1567" width="0" style="157" hidden="1" customWidth="1"/>
    <col min="1568" max="1568" width="12" style="157" customWidth="1"/>
    <col min="1569" max="1569" width="12.7109375" style="157" customWidth="1"/>
    <col min="1570" max="1793" width="11.5703125" style="157"/>
    <col min="1794" max="1794" width="39.5703125" style="157" customWidth="1"/>
    <col min="1795" max="1795" width="11.42578125" style="157" bestFit="1" customWidth="1"/>
    <col min="1796" max="1796" width="11.42578125" style="157" customWidth="1"/>
    <col min="1797" max="1797" width="11.85546875" style="157" customWidth="1"/>
    <col min="1798" max="1823" width="0" style="157" hidden="1" customWidth="1"/>
    <col min="1824" max="1824" width="12" style="157" customWidth="1"/>
    <col min="1825" max="1825" width="12.7109375" style="157" customWidth="1"/>
    <col min="1826" max="2049" width="11.5703125" style="157"/>
    <col min="2050" max="2050" width="39.5703125" style="157" customWidth="1"/>
    <col min="2051" max="2051" width="11.42578125" style="157" bestFit="1" customWidth="1"/>
    <col min="2052" max="2052" width="11.42578125" style="157" customWidth="1"/>
    <col min="2053" max="2053" width="11.85546875" style="157" customWidth="1"/>
    <col min="2054" max="2079" width="0" style="157" hidden="1" customWidth="1"/>
    <col min="2080" max="2080" width="12" style="157" customWidth="1"/>
    <col min="2081" max="2081" width="12.7109375" style="157" customWidth="1"/>
    <col min="2082" max="2305" width="11.5703125" style="157"/>
    <col min="2306" max="2306" width="39.5703125" style="157" customWidth="1"/>
    <col min="2307" max="2307" width="11.42578125" style="157" bestFit="1" customWidth="1"/>
    <col min="2308" max="2308" width="11.42578125" style="157" customWidth="1"/>
    <col min="2309" max="2309" width="11.85546875" style="157" customWidth="1"/>
    <col min="2310" max="2335" width="0" style="157" hidden="1" customWidth="1"/>
    <col min="2336" max="2336" width="12" style="157" customWidth="1"/>
    <col min="2337" max="2337" width="12.7109375" style="157" customWidth="1"/>
    <col min="2338" max="2561" width="11.5703125" style="157"/>
    <col min="2562" max="2562" width="39.5703125" style="157" customWidth="1"/>
    <col min="2563" max="2563" width="11.42578125" style="157" bestFit="1" customWidth="1"/>
    <col min="2564" max="2564" width="11.42578125" style="157" customWidth="1"/>
    <col min="2565" max="2565" width="11.85546875" style="157" customWidth="1"/>
    <col min="2566" max="2591" width="0" style="157" hidden="1" customWidth="1"/>
    <col min="2592" max="2592" width="12" style="157" customWidth="1"/>
    <col min="2593" max="2593" width="12.7109375" style="157" customWidth="1"/>
    <col min="2594" max="2817" width="11.5703125" style="157"/>
    <col min="2818" max="2818" width="39.5703125" style="157" customWidth="1"/>
    <col min="2819" max="2819" width="11.42578125" style="157" bestFit="1" customWidth="1"/>
    <col min="2820" max="2820" width="11.42578125" style="157" customWidth="1"/>
    <col min="2821" max="2821" width="11.85546875" style="157" customWidth="1"/>
    <col min="2822" max="2847" width="0" style="157" hidden="1" customWidth="1"/>
    <col min="2848" max="2848" width="12" style="157" customWidth="1"/>
    <col min="2849" max="2849" width="12.7109375" style="157" customWidth="1"/>
    <col min="2850" max="3073" width="11.5703125" style="157"/>
    <col min="3074" max="3074" width="39.5703125" style="157" customWidth="1"/>
    <col min="3075" max="3075" width="11.42578125" style="157" bestFit="1" customWidth="1"/>
    <col min="3076" max="3076" width="11.42578125" style="157" customWidth="1"/>
    <col min="3077" max="3077" width="11.85546875" style="157" customWidth="1"/>
    <col min="3078" max="3103" width="0" style="157" hidden="1" customWidth="1"/>
    <col min="3104" max="3104" width="12" style="157" customWidth="1"/>
    <col min="3105" max="3105" width="12.7109375" style="157" customWidth="1"/>
    <col min="3106" max="3329" width="11.5703125" style="157"/>
    <col min="3330" max="3330" width="39.5703125" style="157" customWidth="1"/>
    <col min="3331" max="3331" width="11.42578125" style="157" bestFit="1" customWidth="1"/>
    <col min="3332" max="3332" width="11.42578125" style="157" customWidth="1"/>
    <col min="3333" max="3333" width="11.85546875" style="157" customWidth="1"/>
    <col min="3334" max="3359" width="0" style="157" hidden="1" customWidth="1"/>
    <col min="3360" max="3360" width="12" style="157" customWidth="1"/>
    <col min="3361" max="3361" width="12.7109375" style="157" customWidth="1"/>
    <col min="3362" max="3585" width="11.5703125" style="157"/>
    <col min="3586" max="3586" width="39.5703125" style="157" customWidth="1"/>
    <col min="3587" max="3587" width="11.42578125" style="157" bestFit="1" customWidth="1"/>
    <col min="3588" max="3588" width="11.42578125" style="157" customWidth="1"/>
    <col min="3589" max="3589" width="11.85546875" style="157" customWidth="1"/>
    <col min="3590" max="3615" width="0" style="157" hidden="1" customWidth="1"/>
    <col min="3616" max="3616" width="12" style="157" customWidth="1"/>
    <col min="3617" max="3617" width="12.7109375" style="157" customWidth="1"/>
    <col min="3618" max="3841" width="11.5703125" style="157"/>
    <col min="3842" max="3842" width="39.5703125" style="157" customWidth="1"/>
    <col min="3843" max="3843" width="11.42578125" style="157" bestFit="1" customWidth="1"/>
    <col min="3844" max="3844" width="11.42578125" style="157" customWidth="1"/>
    <col min="3845" max="3845" width="11.85546875" style="157" customWidth="1"/>
    <col min="3846" max="3871" width="0" style="157" hidden="1" customWidth="1"/>
    <col min="3872" max="3872" width="12" style="157" customWidth="1"/>
    <col min="3873" max="3873" width="12.7109375" style="157" customWidth="1"/>
    <col min="3874" max="4097" width="11.5703125" style="157"/>
    <col min="4098" max="4098" width="39.5703125" style="157" customWidth="1"/>
    <col min="4099" max="4099" width="11.42578125" style="157" bestFit="1" customWidth="1"/>
    <col min="4100" max="4100" width="11.42578125" style="157" customWidth="1"/>
    <col min="4101" max="4101" width="11.85546875" style="157" customWidth="1"/>
    <col min="4102" max="4127" width="0" style="157" hidden="1" customWidth="1"/>
    <col min="4128" max="4128" width="12" style="157" customWidth="1"/>
    <col min="4129" max="4129" width="12.7109375" style="157" customWidth="1"/>
    <col min="4130" max="4353" width="11.5703125" style="157"/>
    <col min="4354" max="4354" width="39.5703125" style="157" customWidth="1"/>
    <col min="4355" max="4355" width="11.42578125" style="157" bestFit="1" customWidth="1"/>
    <col min="4356" max="4356" width="11.42578125" style="157" customWidth="1"/>
    <col min="4357" max="4357" width="11.85546875" style="157" customWidth="1"/>
    <col min="4358" max="4383" width="0" style="157" hidden="1" customWidth="1"/>
    <col min="4384" max="4384" width="12" style="157" customWidth="1"/>
    <col min="4385" max="4385" width="12.7109375" style="157" customWidth="1"/>
    <col min="4386" max="4609" width="11.5703125" style="157"/>
    <col min="4610" max="4610" width="39.5703125" style="157" customWidth="1"/>
    <col min="4611" max="4611" width="11.42578125" style="157" bestFit="1" customWidth="1"/>
    <col min="4612" max="4612" width="11.42578125" style="157" customWidth="1"/>
    <col min="4613" max="4613" width="11.85546875" style="157" customWidth="1"/>
    <col min="4614" max="4639" width="0" style="157" hidden="1" customWidth="1"/>
    <col min="4640" max="4640" width="12" style="157" customWidth="1"/>
    <col min="4641" max="4641" width="12.7109375" style="157" customWidth="1"/>
    <col min="4642" max="4865" width="11.5703125" style="157"/>
    <col min="4866" max="4866" width="39.5703125" style="157" customWidth="1"/>
    <col min="4867" max="4867" width="11.42578125" style="157" bestFit="1" customWidth="1"/>
    <col min="4868" max="4868" width="11.42578125" style="157" customWidth="1"/>
    <col min="4869" max="4869" width="11.85546875" style="157" customWidth="1"/>
    <col min="4870" max="4895" width="0" style="157" hidden="1" customWidth="1"/>
    <col min="4896" max="4896" width="12" style="157" customWidth="1"/>
    <col min="4897" max="4897" width="12.7109375" style="157" customWidth="1"/>
    <col min="4898" max="5121" width="11.5703125" style="157"/>
    <col min="5122" max="5122" width="39.5703125" style="157" customWidth="1"/>
    <col min="5123" max="5123" width="11.42578125" style="157" bestFit="1" customWidth="1"/>
    <col min="5124" max="5124" width="11.42578125" style="157" customWidth="1"/>
    <col min="5125" max="5125" width="11.85546875" style="157" customWidth="1"/>
    <col min="5126" max="5151" width="0" style="157" hidden="1" customWidth="1"/>
    <col min="5152" max="5152" width="12" style="157" customWidth="1"/>
    <col min="5153" max="5153" width="12.7109375" style="157" customWidth="1"/>
    <col min="5154" max="5377" width="11.5703125" style="157"/>
    <col min="5378" max="5378" width="39.5703125" style="157" customWidth="1"/>
    <col min="5379" max="5379" width="11.42578125" style="157" bestFit="1" customWidth="1"/>
    <col min="5380" max="5380" width="11.42578125" style="157" customWidth="1"/>
    <col min="5381" max="5381" width="11.85546875" style="157" customWidth="1"/>
    <col min="5382" max="5407" width="0" style="157" hidden="1" customWidth="1"/>
    <col min="5408" max="5408" width="12" style="157" customWidth="1"/>
    <col min="5409" max="5409" width="12.7109375" style="157" customWidth="1"/>
    <col min="5410" max="5633" width="11.5703125" style="157"/>
    <col min="5634" max="5634" width="39.5703125" style="157" customWidth="1"/>
    <col min="5635" max="5635" width="11.42578125" style="157" bestFit="1" customWidth="1"/>
    <col min="5636" max="5636" width="11.42578125" style="157" customWidth="1"/>
    <col min="5637" max="5637" width="11.85546875" style="157" customWidth="1"/>
    <col min="5638" max="5663" width="0" style="157" hidden="1" customWidth="1"/>
    <col min="5664" max="5664" width="12" style="157" customWidth="1"/>
    <col min="5665" max="5665" width="12.7109375" style="157" customWidth="1"/>
    <col min="5666" max="5889" width="11.5703125" style="157"/>
    <col min="5890" max="5890" width="39.5703125" style="157" customWidth="1"/>
    <col min="5891" max="5891" width="11.42578125" style="157" bestFit="1" customWidth="1"/>
    <col min="5892" max="5892" width="11.42578125" style="157" customWidth="1"/>
    <col min="5893" max="5893" width="11.85546875" style="157" customWidth="1"/>
    <col min="5894" max="5919" width="0" style="157" hidden="1" customWidth="1"/>
    <col min="5920" max="5920" width="12" style="157" customWidth="1"/>
    <col min="5921" max="5921" width="12.7109375" style="157" customWidth="1"/>
    <col min="5922" max="6145" width="11.5703125" style="157"/>
    <col min="6146" max="6146" width="39.5703125" style="157" customWidth="1"/>
    <col min="6147" max="6147" width="11.42578125" style="157" bestFit="1" customWidth="1"/>
    <col min="6148" max="6148" width="11.42578125" style="157" customWidth="1"/>
    <col min="6149" max="6149" width="11.85546875" style="157" customWidth="1"/>
    <col min="6150" max="6175" width="0" style="157" hidden="1" customWidth="1"/>
    <col min="6176" max="6176" width="12" style="157" customWidth="1"/>
    <col min="6177" max="6177" width="12.7109375" style="157" customWidth="1"/>
    <col min="6178" max="6401" width="11.5703125" style="157"/>
    <col min="6402" max="6402" width="39.5703125" style="157" customWidth="1"/>
    <col min="6403" max="6403" width="11.42578125" style="157" bestFit="1" customWidth="1"/>
    <col min="6404" max="6404" width="11.42578125" style="157" customWidth="1"/>
    <col min="6405" max="6405" width="11.85546875" style="157" customWidth="1"/>
    <col min="6406" max="6431" width="0" style="157" hidden="1" customWidth="1"/>
    <col min="6432" max="6432" width="12" style="157" customWidth="1"/>
    <col min="6433" max="6433" width="12.7109375" style="157" customWidth="1"/>
    <col min="6434" max="6657" width="11.5703125" style="157"/>
    <col min="6658" max="6658" width="39.5703125" style="157" customWidth="1"/>
    <col min="6659" max="6659" width="11.42578125" style="157" bestFit="1" customWidth="1"/>
    <col min="6660" max="6660" width="11.42578125" style="157" customWidth="1"/>
    <col min="6661" max="6661" width="11.85546875" style="157" customWidth="1"/>
    <col min="6662" max="6687" width="0" style="157" hidden="1" customWidth="1"/>
    <col min="6688" max="6688" width="12" style="157" customWidth="1"/>
    <col min="6689" max="6689" width="12.7109375" style="157" customWidth="1"/>
    <col min="6690" max="6913" width="11.5703125" style="157"/>
    <col min="6914" max="6914" width="39.5703125" style="157" customWidth="1"/>
    <col min="6915" max="6915" width="11.42578125" style="157" bestFit="1" customWidth="1"/>
    <col min="6916" max="6916" width="11.42578125" style="157" customWidth="1"/>
    <col min="6917" max="6917" width="11.85546875" style="157" customWidth="1"/>
    <col min="6918" max="6943" width="0" style="157" hidden="1" customWidth="1"/>
    <col min="6944" max="6944" width="12" style="157" customWidth="1"/>
    <col min="6945" max="6945" width="12.7109375" style="157" customWidth="1"/>
    <col min="6946" max="7169" width="11.5703125" style="157"/>
    <col min="7170" max="7170" width="39.5703125" style="157" customWidth="1"/>
    <col min="7171" max="7171" width="11.42578125" style="157" bestFit="1" customWidth="1"/>
    <col min="7172" max="7172" width="11.42578125" style="157" customWidth="1"/>
    <col min="7173" max="7173" width="11.85546875" style="157" customWidth="1"/>
    <col min="7174" max="7199" width="0" style="157" hidden="1" customWidth="1"/>
    <col min="7200" max="7200" width="12" style="157" customWidth="1"/>
    <col min="7201" max="7201" width="12.7109375" style="157" customWidth="1"/>
    <col min="7202" max="7425" width="11.5703125" style="157"/>
    <col min="7426" max="7426" width="39.5703125" style="157" customWidth="1"/>
    <col min="7427" max="7427" width="11.42578125" style="157" bestFit="1" customWidth="1"/>
    <col min="7428" max="7428" width="11.42578125" style="157" customWidth="1"/>
    <col min="7429" max="7429" width="11.85546875" style="157" customWidth="1"/>
    <col min="7430" max="7455" width="0" style="157" hidden="1" customWidth="1"/>
    <col min="7456" max="7456" width="12" style="157" customWidth="1"/>
    <col min="7457" max="7457" width="12.7109375" style="157" customWidth="1"/>
    <col min="7458" max="7681" width="11.5703125" style="157"/>
    <col min="7682" max="7682" width="39.5703125" style="157" customWidth="1"/>
    <col min="7683" max="7683" width="11.42578125" style="157" bestFit="1" customWidth="1"/>
    <col min="7684" max="7684" width="11.42578125" style="157" customWidth="1"/>
    <col min="7685" max="7685" width="11.85546875" style="157" customWidth="1"/>
    <col min="7686" max="7711" width="0" style="157" hidden="1" customWidth="1"/>
    <col min="7712" max="7712" width="12" style="157" customWidth="1"/>
    <col min="7713" max="7713" width="12.7109375" style="157" customWidth="1"/>
    <col min="7714" max="7937" width="11.5703125" style="157"/>
    <col min="7938" max="7938" width="39.5703125" style="157" customWidth="1"/>
    <col min="7939" max="7939" width="11.42578125" style="157" bestFit="1" customWidth="1"/>
    <col min="7940" max="7940" width="11.42578125" style="157" customWidth="1"/>
    <col min="7941" max="7941" width="11.85546875" style="157" customWidth="1"/>
    <col min="7942" max="7967" width="0" style="157" hidden="1" customWidth="1"/>
    <col min="7968" max="7968" width="12" style="157" customWidth="1"/>
    <col min="7969" max="7969" width="12.7109375" style="157" customWidth="1"/>
    <col min="7970" max="8193" width="11.5703125" style="157"/>
    <col min="8194" max="8194" width="39.5703125" style="157" customWidth="1"/>
    <col min="8195" max="8195" width="11.42578125" style="157" bestFit="1" customWidth="1"/>
    <col min="8196" max="8196" width="11.42578125" style="157" customWidth="1"/>
    <col min="8197" max="8197" width="11.85546875" style="157" customWidth="1"/>
    <col min="8198" max="8223" width="0" style="157" hidden="1" customWidth="1"/>
    <col min="8224" max="8224" width="12" style="157" customWidth="1"/>
    <col min="8225" max="8225" width="12.7109375" style="157" customWidth="1"/>
    <col min="8226" max="8449" width="11.5703125" style="157"/>
    <col min="8450" max="8450" width="39.5703125" style="157" customWidth="1"/>
    <col min="8451" max="8451" width="11.42578125" style="157" bestFit="1" customWidth="1"/>
    <col min="8452" max="8452" width="11.42578125" style="157" customWidth="1"/>
    <col min="8453" max="8453" width="11.85546875" style="157" customWidth="1"/>
    <col min="8454" max="8479" width="0" style="157" hidden="1" customWidth="1"/>
    <col min="8480" max="8480" width="12" style="157" customWidth="1"/>
    <col min="8481" max="8481" width="12.7109375" style="157" customWidth="1"/>
    <col min="8482" max="8705" width="11.5703125" style="157"/>
    <col min="8706" max="8706" width="39.5703125" style="157" customWidth="1"/>
    <col min="8707" max="8707" width="11.42578125" style="157" bestFit="1" customWidth="1"/>
    <col min="8708" max="8708" width="11.42578125" style="157" customWidth="1"/>
    <col min="8709" max="8709" width="11.85546875" style="157" customWidth="1"/>
    <col min="8710" max="8735" width="0" style="157" hidden="1" customWidth="1"/>
    <col min="8736" max="8736" width="12" style="157" customWidth="1"/>
    <col min="8737" max="8737" width="12.7109375" style="157" customWidth="1"/>
    <col min="8738" max="8961" width="11.5703125" style="157"/>
    <col min="8962" max="8962" width="39.5703125" style="157" customWidth="1"/>
    <col min="8963" max="8963" width="11.42578125" style="157" bestFit="1" customWidth="1"/>
    <col min="8964" max="8964" width="11.42578125" style="157" customWidth="1"/>
    <col min="8965" max="8965" width="11.85546875" style="157" customWidth="1"/>
    <col min="8966" max="8991" width="0" style="157" hidden="1" customWidth="1"/>
    <col min="8992" max="8992" width="12" style="157" customWidth="1"/>
    <col min="8993" max="8993" width="12.7109375" style="157" customWidth="1"/>
    <col min="8994" max="9217" width="11.5703125" style="157"/>
    <col min="9218" max="9218" width="39.5703125" style="157" customWidth="1"/>
    <col min="9219" max="9219" width="11.42578125" style="157" bestFit="1" customWidth="1"/>
    <col min="9220" max="9220" width="11.42578125" style="157" customWidth="1"/>
    <col min="9221" max="9221" width="11.85546875" style="157" customWidth="1"/>
    <col min="9222" max="9247" width="0" style="157" hidden="1" customWidth="1"/>
    <col min="9248" max="9248" width="12" style="157" customWidth="1"/>
    <col min="9249" max="9249" width="12.7109375" style="157" customWidth="1"/>
    <col min="9250" max="9473" width="11.5703125" style="157"/>
    <col min="9474" max="9474" width="39.5703125" style="157" customWidth="1"/>
    <col min="9475" max="9475" width="11.42578125" style="157" bestFit="1" customWidth="1"/>
    <col min="9476" max="9476" width="11.42578125" style="157" customWidth="1"/>
    <col min="9477" max="9477" width="11.85546875" style="157" customWidth="1"/>
    <col min="9478" max="9503" width="0" style="157" hidden="1" customWidth="1"/>
    <col min="9504" max="9504" width="12" style="157" customWidth="1"/>
    <col min="9505" max="9505" width="12.7109375" style="157" customWidth="1"/>
    <col min="9506" max="9729" width="11.5703125" style="157"/>
    <col min="9730" max="9730" width="39.5703125" style="157" customWidth="1"/>
    <col min="9731" max="9731" width="11.42578125" style="157" bestFit="1" customWidth="1"/>
    <col min="9732" max="9732" width="11.42578125" style="157" customWidth="1"/>
    <col min="9733" max="9733" width="11.85546875" style="157" customWidth="1"/>
    <col min="9734" max="9759" width="0" style="157" hidden="1" customWidth="1"/>
    <col min="9760" max="9760" width="12" style="157" customWidth="1"/>
    <col min="9761" max="9761" width="12.7109375" style="157" customWidth="1"/>
    <col min="9762" max="9985" width="11.5703125" style="157"/>
    <col min="9986" max="9986" width="39.5703125" style="157" customWidth="1"/>
    <col min="9987" max="9987" width="11.42578125" style="157" bestFit="1" customWidth="1"/>
    <col min="9988" max="9988" width="11.42578125" style="157" customWidth="1"/>
    <col min="9989" max="9989" width="11.85546875" style="157" customWidth="1"/>
    <col min="9990" max="10015" width="0" style="157" hidden="1" customWidth="1"/>
    <col min="10016" max="10016" width="12" style="157" customWidth="1"/>
    <col min="10017" max="10017" width="12.7109375" style="157" customWidth="1"/>
    <col min="10018" max="10241" width="11.5703125" style="157"/>
    <col min="10242" max="10242" width="39.5703125" style="157" customWidth="1"/>
    <col min="10243" max="10243" width="11.42578125" style="157" bestFit="1" customWidth="1"/>
    <col min="10244" max="10244" width="11.42578125" style="157" customWidth="1"/>
    <col min="10245" max="10245" width="11.85546875" style="157" customWidth="1"/>
    <col min="10246" max="10271" width="0" style="157" hidden="1" customWidth="1"/>
    <col min="10272" max="10272" width="12" style="157" customWidth="1"/>
    <col min="10273" max="10273" width="12.7109375" style="157" customWidth="1"/>
    <col min="10274" max="10497" width="11.5703125" style="157"/>
    <col min="10498" max="10498" width="39.5703125" style="157" customWidth="1"/>
    <col min="10499" max="10499" width="11.42578125" style="157" bestFit="1" customWidth="1"/>
    <col min="10500" max="10500" width="11.42578125" style="157" customWidth="1"/>
    <col min="10501" max="10501" width="11.85546875" style="157" customWidth="1"/>
    <col min="10502" max="10527" width="0" style="157" hidden="1" customWidth="1"/>
    <col min="10528" max="10528" width="12" style="157" customWidth="1"/>
    <col min="10529" max="10529" width="12.7109375" style="157" customWidth="1"/>
    <col min="10530" max="10753" width="11.5703125" style="157"/>
    <col min="10754" max="10754" width="39.5703125" style="157" customWidth="1"/>
    <col min="10755" max="10755" width="11.42578125" style="157" bestFit="1" customWidth="1"/>
    <col min="10756" max="10756" width="11.42578125" style="157" customWidth="1"/>
    <col min="10757" max="10757" width="11.85546875" style="157" customWidth="1"/>
    <col min="10758" max="10783" width="0" style="157" hidden="1" customWidth="1"/>
    <col min="10784" max="10784" width="12" style="157" customWidth="1"/>
    <col min="10785" max="10785" width="12.7109375" style="157" customWidth="1"/>
    <col min="10786" max="11009" width="11.5703125" style="157"/>
    <col min="11010" max="11010" width="39.5703125" style="157" customWidth="1"/>
    <col min="11011" max="11011" width="11.42578125" style="157" bestFit="1" customWidth="1"/>
    <col min="11012" max="11012" width="11.42578125" style="157" customWidth="1"/>
    <col min="11013" max="11013" width="11.85546875" style="157" customWidth="1"/>
    <col min="11014" max="11039" width="0" style="157" hidden="1" customWidth="1"/>
    <col min="11040" max="11040" width="12" style="157" customWidth="1"/>
    <col min="11041" max="11041" width="12.7109375" style="157" customWidth="1"/>
    <col min="11042" max="11265" width="11.5703125" style="157"/>
    <col min="11266" max="11266" width="39.5703125" style="157" customWidth="1"/>
    <col min="11267" max="11267" width="11.42578125" style="157" bestFit="1" customWidth="1"/>
    <col min="11268" max="11268" width="11.42578125" style="157" customWidth="1"/>
    <col min="11269" max="11269" width="11.85546875" style="157" customWidth="1"/>
    <col min="11270" max="11295" width="0" style="157" hidden="1" customWidth="1"/>
    <col min="11296" max="11296" width="12" style="157" customWidth="1"/>
    <col min="11297" max="11297" width="12.7109375" style="157" customWidth="1"/>
    <col min="11298" max="11521" width="11.5703125" style="157"/>
    <col min="11522" max="11522" width="39.5703125" style="157" customWidth="1"/>
    <col min="11523" max="11523" width="11.42578125" style="157" bestFit="1" customWidth="1"/>
    <col min="11524" max="11524" width="11.42578125" style="157" customWidth="1"/>
    <col min="11525" max="11525" width="11.85546875" style="157" customWidth="1"/>
    <col min="11526" max="11551" width="0" style="157" hidden="1" customWidth="1"/>
    <col min="11552" max="11552" width="12" style="157" customWidth="1"/>
    <col min="11553" max="11553" width="12.7109375" style="157" customWidth="1"/>
    <col min="11554" max="11777" width="11.5703125" style="157"/>
    <col min="11778" max="11778" width="39.5703125" style="157" customWidth="1"/>
    <col min="11779" max="11779" width="11.42578125" style="157" bestFit="1" customWidth="1"/>
    <col min="11780" max="11780" width="11.42578125" style="157" customWidth="1"/>
    <col min="11781" max="11781" width="11.85546875" style="157" customWidth="1"/>
    <col min="11782" max="11807" width="0" style="157" hidden="1" customWidth="1"/>
    <col min="11808" max="11808" width="12" style="157" customWidth="1"/>
    <col min="11809" max="11809" width="12.7109375" style="157" customWidth="1"/>
    <col min="11810" max="12033" width="11.5703125" style="157"/>
    <col min="12034" max="12034" width="39.5703125" style="157" customWidth="1"/>
    <col min="12035" max="12035" width="11.42578125" style="157" bestFit="1" customWidth="1"/>
    <col min="12036" max="12036" width="11.42578125" style="157" customWidth="1"/>
    <col min="12037" max="12037" width="11.85546875" style="157" customWidth="1"/>
    <col min="12038" max="12063" width="0" style="157" hidden="1" customWidth="1"/>
    <col min="12064" max="12064" width="12" style="157" customWidth="1"/>
    <col min="12065" max="12065" width="12.7109375" style="157" customWidth="1"/>
    <col min="12066" max="12289" width="11.5703125" style="157"/>
    <col min="12290" max="12290" width="39.5703125" style="157" customWidth="1"/>
    <col min="12291" max="12291" width="11.42578125" style="157" bestFit="1" customWidth="1"/>
    <col min="12292" max="12292" width="11.42578125" style="157" customWidth="1"/>
    <col min="12293" max="12293" width="11.85546875" style="157" customWidth="1"/>
    <col min="12294" max="12319" width="0" style="157" hidden="1" customWidth="1"/>
    <col min="12320" max="12320" width="12" style="157" customWidth="1"/>
    <col min="12321" max="12321" width="12.7109375" style="157" customWidth="1"/>
    <col min="12322" max="12545" width="11.5703125" style="157"/>
    <col min="12546" max="12546" width="39.5703125" style="157" customWidth="1"/>
    <col min="12547" max="12547" width="11.42578125" style="157" bestFit="1" customWidth="1"/>
    <col min="12548" max="12548" width="11.42578125" style="157" customWidth="1"/>
    <col min="12549" max="12549" width="11.85546875" style="157" customWidth="1"/>
    <col min="12550" max="12575" width="0" style="157" hidden="1" customWidth="1"/>
    <col min="12576" max="12576" width="12" style="157" customWidth="1"/>
    <col min="12577" max="12577" width="12.7109375" style="157" customWidth="1"/>
    <col min="12578" max="12801" width="11.5703125" style="157"/>
    <col min="12802" max="12802" width="39.5703125" style="157" customWidth="1"/>
    <col min="12803" max="12803" width="11.42578125" style="157" bestFit="1" customWidth="1"/>
    <col min="12804" max="12804" width="11.42578125" style="157" customWidth="1"/>
    <col min="12805" max="12805" width="11.85546875" style="157" customWidth="1"/>
    <col min="12806" max="12831" width="0" style="157" hidden="1" customWidth="1"/>
    <col min="12832" max="12832" width="12" style="157" customWidth="1"/>
    <col min="12833" max="12833" width="12.7109375" style="157" customWidth="1"/>
    <col min="12834" max="13057" width="11.5703125" style="157"/>
    <col min="13058" max="13058" width="39.5703125" style="157" customWidth="1"/>
    <col min="13059" max="13059" width="11.42578125" style="157" bestFit="1" customWidth="1"/>
    <col min="13060" max="13060" width="11.42578125" style="157" customWidth="1"/>
    <col min="13061" max="13061" width="11.85546875" style="157" customWidth="1"/>
    <col min="13062" max="13087" width="0" style="157" hidden="1" customWidth="1"/>
    <col min="13088" max="13088" width="12" style="157" customWidth="1"/>
    <col min="13089" max="13089" width="12.7109375" style="157" customWidth="1"/>
    <col min="13090" max="13313" width="11.5703125" style="157"/>
    <col min="13314" max="13314" width="39.5703125" style="157" customWidth="1"/>
    <col min="13315" max="13315" width="11.42578125" style="157" bestFit="1" customWidth="1"/>
    <col min="13316" max="13316" width="11.42578125" style="157" customWidth="1"/>
    <col min="13317" max="13317" width="11.85546875" style="157" customWidth="1"/>
    <col min="13318" max="13343" width="0" style="157" hidden="1" customWidth="1"/>
    <col min="13344" max="13344" width="12" style="157" customWidth="1"/>
    <col min="13345" max="13345" width="12.7109375" style="157" customWidth="1"/>
    <col min="13346" max="13569" width="11.5703125" style="157"/>
    <col min="13570" max="13570" width="39.5703125" style="157" customWidth="1"/>
    <col min="13571" max="13571" width="11.42578125" style="157" bestFit="1" customWidth="1"/>
    <col min="13572" max="13572" width="11.42578125" style="157" customWidth="1"/>
    <col min="13573" max="13573" width="11.85546875" style="157" customWidth="1"/>
    <col min="13574" max="13599" width="0" style="157" hidden="1" customWidth="1"/>
    <col min="13600" max="13600" width="12" style="157" customWidth="1"/>
    <col min="13601" max="13601" width="12.7109375" style="157" customWidth="1"/>
    <col min="13602" max="13825" width="11.5703125" style="157"/>
    <col min="13826" max="13826" width="39.5703125" style="157" customWidth="1"/>
    <col min="13827" max="13827" width="11.42578125" style="157" bestFit="1" customWidth="1"/>
    <col min="13828" max="13828" width="11.42578125" style="157" customWidth="1"/>
    <col min="13829" max="13829" width="11.85546875" style="157" customWidth="1"/>
    <col min="13830" max="13855" width="0" style="157" hidden="1" customWidth="1"/>
    <col min="13856" max="13856" width="12" style="157" customWidth="1"/>
    <col min="13857" max="13857" width="12.7109375" style="157" customWidth="1"/>
    <col min="13858" max="14081" width="11.5703125" style="157"/>
    <col min="14082" max="14082" width="39.5703125" style="157" customWidth="1"/>
    <col min="14083" max="14083" width="11.42578125" style="157" bestFit="1" customWidth="1"/>
    <col min="14084" max="14084" width="11.42578125" style="157" customWidth="1"/>
    <col min="14085" max="14085" width="11.85546875" style="157" customWidth="1"/>
    <col min="14086" max="14111" width="0" style="157" hidden="1" customWidth="1"/>
    <col min="14112" max="14112" width="12" style="157" customWidth="1"/>
    <col min="14113" max="14113" width="12.7109375" style="157" customWidth="1"/>
    <col min="14114" max="14337" width="11.5703125" style="157"/>
    <col min="14338" max="14338" width="39.5703125" style="157" customWidth="1"/>
    <col min="14339" max="14339" width="11.42578125" style="157" bestFit="1" customWidth="1"/>
    <col min="14340" max="14340" width="11.42578125" style="157" customWidth="1"/>
    <col min="14341" max="14341" width="11.85546875" style="157" customWidth="1"/>
    <col min="14342" max="14367" width="0" style="157" hidden="1" customWidth="1"/>
    <col min="14368" max="14368" width="12" style="157" customWidth="1"/>
    <col min="14369" max="14369" width="12.7109375" style="157" customWidth="1"/>
    <col min="14370" max="14593" width="11.5703125" style="157"/>
    <col min="14594" max="14594" width="39.5703125" style="157" customWidth="1"/>
    <col min="14595" max="14595" width="11.42578125" style="157" bestFit="1" customWidth="1"/>
    <col min="14596" max="14596" width="11.42578125" style="157" customWidth="1"/>
    <col min="14597" max="14597" width="11.85546875" style="157" customWidth="1"/>
    <col min="14598" max="14623" width="0" style="157" hidden="1" customWidth="1"/>
    <col min="14624" max="14624" width="12" style="157" customWidth="1"/>
    <col min="14625" max="14625" width="12.7109375" style="157" customWidth="1"/>
    <col min="14626" max="14849" width="11.5703125" style="157"/>
    <col min="14850" max="14850" width="39.5703125" style="157" customWidth="1"/>
    <col min="14851" max="14851" width="11.42578125" style="157" bestFit="1" customWidth="1"/>
    <col min="14852" max="14852" width="11.42578125" style="157" customWidth="1"/>
    <col min="14853" max="14853" width="11.85546875" style="157" customWidth="1"/>
    <col min="14854" max="14879" width="0" style="157" hidden="1" customWidth="1"/>
    <col min="14880" max="14880" width="12" style="157" customWidth="1"/>
    <col min="14881" max="14881" width="12.7109375" style="157" customWidth="1"/>
    <col min="14882" max="15105" width="11.5703125" style="157"/>
    <col min="15106" max="15106" width="39.5703125" style="157" customWidth="1"/>
    <col min="15107" max="15107" width="11.42578125" style="157" bestFit="1" customWidth="1"/>
    <col min="15108" max="15108" width="11.42578125" style="157" customWidth="1"/>
    <col min="15109" max="15109" width="11.85546875" style="157" customWidth="1"/>
    <col min="15110" max="15135" width="0" style="157" hidden="1" customWidth="1"/>
    <col min="15136" max="15136" width="12" style="157" customWidth="1"/>
    <col min="15137" max="15137" width="12.7109375" style="157" customWidth="1"/>
    <col min="15138" max="15361" width="11.5703125" style="157"/>
    <col min="15362" max="15362" width="39.5703125" style="157" customWidth="1"/>
    <col min="15363" max="15363" width="11.42578125" style="157" bestFit="1" customWidth="1"/>
    <col min="15364" max="15364" width="11.42578125" style="157" customWidth="1"/>
    <col min="15365" max="15365" width="11.85546875" style="157" customWidth="1"/>
    <col min="15366" max="15391" width="0" style="157" hidden="1" customWidth="1"/>
    <col min="15392" max="15392" width="12" style="157" customWidth="1"/>
    <col min="15393" max="15393" width="12.7109375" style="157" customWidth="1"/>
    <col min="15394" max="15617" width="11.5703125" style="157"/>
    <col min="15618" max="15618" width="39.5703125" style="157" customWidth="1"/>
    <col min="15619" max="15619" width="11.42578125" style="157" bestFit="1" customWidth="1"/>
    <col min="15620" max="15620" width="11.42578125" style="157" customWidth="1"/>
    <col min="15621" max="15621" width="11.85546875" style="157" customWidth="1"/>
    <col min="15622" max="15647" width="0" style="157" hidden="1" customWidth="1"/>
    <col min="15648" max="15648" width="12" style="157" customWidth="1"/>
    <col min="15649" max="15649" width="12.7109375" style="157" customWidth="1"/>
    <col min="15650" max="15873" width="11.5703125" style="157"/>
    <col min="15874" max="15874" width="39.5703125" style="157" customWidth="1"/>
    <col min="15875" max="15875" width="11.42578125" style="157" bestFit="1" customWidth="1"/>
    <col min="15876" max="15876" width="11.42578125" style="157" customWidth="1"/>
    <col min="15877" max="15877" width="11.85546875" style="157" customWidth="1"/>
    <col min="15878" max="15903" width="0" style="157" hidden="1" customWidth="1"/>
    <col min="15904" max="15904" width="12" style="157" customWidth="1"/>
    <col min="15905" max="15905" width="12.7109375" style="157" customWidth="1"/>
    <col min="15906" max="16129" width="11.5703125" style="157"/>
    <col min="16130" max="16130" width="39.5703125" style="157" customWidth="1"/>
    <col min="16131" max="16131" width="11.42578125" style="157" bestFit="1" customWidth="1"/>
    <col min="16132" max="16132" width="11.42578125" style="157" customWidth="1"/>
    <col min="16133" max="16133" width="11.85546875" style="157" customWidth="1"/>
    <col min="16134" max="16159" width="0" style="157" hidden="1" customWidth="1"/>
    <col min="16160" max="16160" width="12" style="157" customWidth="1"/>
    <col min="16161" max="16161" width="12.7109375" style="157" customWidth="1"/>
    <col min="16162" max="16384" width="11.5703125" style="157"/>
  </cols>
  <sheetData>
    <row r="1" spans="2:34" s="156" customFormat="1" ht="24" customHeight="1">
      <c r="B1" s="359" t="s">
        <v>508</v>
      </c>
      <c r="C1" s="89" t="s">
        <v>359</v>
      </c>
      <c r="D1" s="89"/>
      <c r="E1" s="89"/>
      <c r="F1" s="89"/>
      <c r="G1" s="89"/>
      <c r="H1" s="89"/>
      <c r="I1" s="89"/>
      <c r="J1" s="89"/>
      <c r="K1" s="89"/>
      <c r="L1" s="89"/>
      <c r="M1" s="89" t="s">
        <v>359</v>
      </c>
      <c r="N1" s="466"/>
      <c r="O1" s="466"/>
      <c r="P1" s="466"/>
      <c r="Q1" s="451"/>
      <c r="R1" s="89"/>
      <c r="S1" s="89"/>
      <c r="T1" s="89"/>
      <c r="U1" s="89"/>
      <c r="V1" s="89"/>
      <c r="W1" s="89" t="s">
        <v>359</v>
      </c>
      <c r="X1" s="89"/>
      <c r="Y1" s="89"/>
      <c r="Z1" s="89"/>
      <c r="AA1" s="89"/>
      <c r="AB1" s="89"/>
      <c r="AC1" s="1208"/>
      <c r="AD1" s="1208"/>
      <c r="AE1" s="1208"/>
      <c r="AF1" s="1208"/>
      <c r="AG1" s="1208"/>
    </row>
    <row r="2" spans="2:34" ht="16.149999999999999" customHeight="1" thickBot="1">
      <c r="B2" s="41"/>
      <c r="C2" s="41"/>
      <c r="D2" s="41"/>
      <c r="E2" s="41"/>
      <c r="F2" s="41"/>
      <c r="G2" s="467"/>
      <c r="H2" s="41"/>
      <c r="I2" s="41"/>
      <c r="J2" s="41"/>
      <c r="K2" s="41"/>
      <c r="L2" s="467" t="s">
        <v>264</v>
      </c>
      <c r="N2" s="41"/>
      <c r="O2" s="467"/>
      <c r="P2" s="467"/>
      <c r="Q2" s="467"/>
      <c r="R2" s="467"/>
      <c r="S2" s="41"/>
      <c r="T2" s="41"/>
      <c r="U2" s="41"/>
      <c r="V2" s="467" t="s">
        <v>264</v>
      </c>
      <c r="W2" s="467"/>
      <c r="X2" s="467"/>
      <c r="Y2" s="467"/>
      <c r="Z2" s="467"/>
      <c r="AA2" s="467"/>
      <c r="AB2" s="467"/>
      <c r="AC2" s="467"/>
      <c r="AD2" s="467"/>
      <c r="AE2" s="467"/>
      <c r="AF2" s="467"/>
      <c r="AG2" s="467" t="s">
        <v>264</v>
      </c>
    </row>
    <row r="3" spans="2:34" ht="30" customHeight="1" thickBot="1">
      <c r="B3" s="449" t="s">
        <v>172</v>
      </c>
      <c r="C3" s="879" t="s">
        <v>173</v>
      </c>
      <c r="D3" s="879" t="s">
        <v>174</v>
      </c>
      <c r="E3" s="879" t="s">
        <v>259</v>
      </c>
      <c r="F3" s="879" t="s">
        <v>175</v>
      </c>
      <c r="G3" s="968" t="s">
        <v>176</v>
      </c>
      <c r="H3" s="968" t="s">
        <v>177</v>
      </c>
      <c r="I3" s="968" t="s">
        <v>178</v>
      </c>
      <c r="J3" s="968" t="s">
        <v>179</v>
      </c>
      <c r="K3" s="968" t="s">
        <v>180</v>
      </c>
      <c r="L3" s="968" t="s">
        <v>181</v>
      </c>
      <c r="M3" s="968" t="s">
        <v>182</v>
      </c>
      <c r="N3" s="968" t="s">
        <v>183</v>
      </c>
      <c r="O3" s="968" t="s">
        <v>184</v>
      </c>
      <c r="P3" s="968" t="s">
        <v>185</v>
      </c>
      <c r="Q3" s="968" t="s">
        <v>186</v>
      </c>
      <c r="R3" s="968" t="s">
        <v>187</v>
      </c>
      <c r="S3" s="968" t="s">
        <v>188</v>
      </c>
      <c r="T3" s="968" t="s">
        <v>189</v>
      </c>
      <c r="U3" s="968" t="s">
        <v>190</v>
      </c>
      <c r="V3" s="968" t="s">
        <v>191</v>
      </c>
      <c r="W3" s="968" t="s">
        <v>192</v>
      </c>
      <c r="X3" s="968" t="s">
        <v>193</v>
      </c>
      <c r="Y3" s="968" t="s">
        <v>194</v>
      </c>
      <c r="Z3" s="968" t="s">
        <v>195</v>
      </c>
      <c r="AA3" s="968" t="s">
        <v>196</v>
      </c>
      <c r="AB3" s="968" t="s">
        <v>197</v>
      </c>
      <c r="AC3" s="968" t="s">
        <v>198</v>
      </c>
      <c r="AD3" s="968" t="s">
        <v>199</v>
      </c>
      <c r="AE3" s="968" t="s">
        <v>200</v>
      </c>
      <c r="AF3" s="969" t="s">
        <v>201</v>
      </c>
      <c r="AG3" s="970" t="s">
        <v>0</v>
      </c>
    </row>
    <row r="4" spans="2:34" s="205" customFormat="1" ht="21" customHeight="1">
      <c r="B4" s="475" t="s">
        <v>227</v>
      </c>
      <c r="C4" s="880">
        <f>'TS-R1 DRE'!C22</f>
        <v>344452.45949611819</v>
      </c>
      <c r="D4" s="880">
        <f>'TS-R1 DRE'!D22</f>
        <v>725356.85352382308</v>
      </c>
      <c r="E4" s="880">
        <f>'TS-R1 DRE'!E22</f>
        <v>761828.63043885329</v>
      </c>
      <c r="F4" s="880">
        <f>'TS-R1 DRE'!F22</f>
        <v>885889.84541072126</v>
      </c>
      <c r="G4" s="974">
        <f>'TS-R1 DRE'!G22</f>
        <v>1000726.4134629766</v>
      </c>
      <c r="H4" s="974">
        <f>'TS-R1 DRE'!H22</f>
        <v>1275474.5974876599</v>
      </c>
      <c r="I4" s="974">
        <f>'TS-R1 DRE'!I22</f>
        <v>1643450.4430852872</v>
      </c>
      <c r="J4" s="974">
        <f>'TS-R1 DRE'!J22</f>
        <v>1878278.8824148588</v>
      </c>
      <c r="K4" s="974">
        <f>'TS-R1 DRE'!K22</f>
        <v>1884461.5694320232</v>
      </c>
      <c r="L4" s="974">
        <f>'TS-R1 DRE'!L22</f>
        <v>2028699.4098258421</v>
      </c>
      <c r="M4" s="974">
        <f>'TS-R1 DRE'!M22</f>
        <v>2204529.6349842474</v>
      </c>
      <c r="N4" s="974">
        <f>'TS-R1 DRE'!N22</f>
        <v>2470026.8927170369</v>
      </c>
      <c r="O4" s="974">
        <f>'TS-R1 DRE'!O22</f>
        <v>2490031.0675325757</v>
      </c>
      <c r="P4" s="974">
        <f>'TS-R1 DRE'!P22</f>
        <v>2495396.0361856408</v>
      </c>
      <c r="Q4" s="974">
        <f>'TS-R1 DRE'!Q22</f>
        <v>2500760.9331486304</v>
      </c>
      <c r="R4" s="974">
        <f>'TS-R1 DRE'!R22</f>
        <v>2505758.2528723544</v>
      </c>
      <c r="S4" s="974">
        <f>'TS-R1 DRE'!S22</f>
        <v>2510294.5599544412</v>
      </c>
      <c r="T4" s="974">
        <f>'TS-R1 DRE'!T22</f>
        <v>2514780.2529452336</v>
      </c>
      <c r="U4" s="974">
        <f>'TS-R1 DRE'!U22</f>
        <v>2519167.4671289306</v>
      </c>
      <c r="V4" s="974">
        <f>'TS-R1 DRE'!V22</f>
        <v>2523168.1953806318</v>
      </c>
      <c r="W4" s="974">
        <f>'TS-R1 DRE'!W22</f>
        <v>2527991.014124888</v>
      </c>
      <c r="X4" s="974">
        <f>'TS-R1 DRE'!X22</f>
        <v>2533042.3627405032</v>
      </c>
      <c r="Y4" s="974">
        <f>'TS-R1 DRE'!Y22</f>
        <v>2536680.5955813341</v>
      </c>
      <c r="Z4" s="974">
        <f>'TS-R1 DRE'!Z22</f>
        <v>2540231.4032847509</v>
      </c>
      <c r="AA4" s="974">
        <f>'TS-R1 DRE'!AA22</f>
        <v>2543781.818489573</v>
      </c>
      <c r="AB4" s="974">
        <f>'TS-R1 DRE'!AB22</f>
        <v>2548047.7346442943</v>
      </c>
      <c r="AC4" s="974">
        <f>'TS-R1 DRE'!AC22</f>
        <v>2552611.9080628944</v>
      </c>
      <c r="AD4" s="974">
        <f>'TS-R1 DRE'!AD22</f>
        <v>2556665.8360815919</v>
      </c>
      <c r="AE4" s="974">
        <f>'TS-R1 DRE'!AE22</f>
        <v>2561147.0752628981</v>
      </c>
      <c r="AF4" s="974">
        <f>'TS-R1 DRE'!AF22</f>
        <v>2564439.9226051071</v>
      </c>
      <c r="AG4" s="971">
        <f>SUM(C4:AF4)</f>
        <v>62627172.068305723</v>
      </c>
    </row>
    <row r="5" spans="2:34" s="206" customFormat="1" ht="21" hidden="1" customHeight="1">
      <c r="B5" s="469" t="s">
        <v>228</v>
      </c>
      <c r="C5" s="575"/>
      <c r="D5" s="575"/>
      <c r="E5" s="575"/>
      <c r="F5" s="575"/>
      <c r="G5" s="964"/>
      <c r="H5" s="964"/>
      <c r="I5" s="964"/>
      <c r="J5" s="964"/>
      <c r="K5" s="964"/>
      <c r="L5" s="964"/>
      <c r="M5" s="964"/>
      <c r="N5" s="964"/>
      <c r="O5" s="964"/>
      <c r="P5" s="964"/>
      <c r="Q5" s="964"/>
      <c r="R5" s="964"/>
      <c r="S5" s="964"/>
      <c r="T5" s="964"/>
      <c r="U5" s="964"/>
      <c r="V5" s="964"/>
      <c r="W5" s="964"/>
      <c r="X5" s="964"/>
      <c r="Y5" s="964"/>
      <c r="Z5" s="964"/>
      <c r="AA5" s="964"/>
      <c r="AB5" s="964"/>
      <c r="AC5" s="964"/>
      <c r="AD5" s="964"/>
      <c r="AE5" s="964"/>
      <c r="AF5" s="972"/>
      <c r="AG5" s="973">
        <f t="shared" ref="AG5:AG14" si="0">SUM(C5:AF5)</f>
        <v>0</v>
      </c>
    </row>
    <row r="6" spans="2:34" s="205" customFormat="1" ht="21" customHeight="1">
      <c r="B6" s="468" t="s">
        <v>229</v>
      </c>
      <c r="C6" s="576">
        <f>C7+C11</f>
        <v>-563262.22957299976</v>
      </c>
      <c r="D6" s="576">
        <f t="shared" ref="D6:AF6" si="1">D7+D11</f>
        <v>-561656.73038045049</v>
      </c>
      <c r="E6" s="576">
        <f t="shared" si="1"/>
        <v>-526558.43434490811</v>
      </c>
      <c r="F6" s="576">
        <f t="shared" si="1"/>
        <v>-1656331.7371514337</v>
      </c>
      <c r="G6" s="962">
        <f t="shared" si="1"/>
        <v>-5493303.2872800427</v>
      </c>
      <c r="H6" s="962">
        <f t="shared" si="1"/>
        <v>-1033871.3702593058</v>
      </c>
      <c r="I6" s="962">
        <f t="shared" si="1"/>
        <v>-2133878.4599826448</v>
      </c>
      <c r="J6" s="962">
        <f t="shared" si="1"/>
        <v>-1667032.2596100115</v>
      </c>
      <c r="K6" s="962">
        <f t="shared" si="1"/>
        <v>-2383140.6383478073</v>
      </c>
      <c r="L6" s="962">
        <f t="shared" si="1"/>
        <v>-1476640.4933067993</v>
      </c>
      <c r="M6" s="962">
        <f t="shared" si="1"/>
        <v>-3173153.9517230461</v>
      </c>
      <c r="N6" s="962">
        <f t="shared" si="1"/>
        <v>-2915443.9629548099</v>
      </c>
      <c r="O6" s="962">
        <f t="shared" si="1"/>
        <v>-593176.18232709006</v>
      </c>
      <c r="P6" s="962">
        <f t="shared" si="1"/>
        <v>-593632.53659408959</v>
      </c>
      <c r="Q6" s="962">
        <f t="shared" si="1"/>
        <v>-594003.38304427313</v>
      </c>
      <c r="R6" s="962">
        <f t="shared" si="1"/>
        <v>-588864.37199862418</v>
      </c>
      <c r="S6" s="962">
        <f t="shared" si="1"/>
        <v>-588874.31810112461</v>
      </c>
      <c r="T6" s="962">
        <f t="shared" si="1"/>
        <v>-588749.17861986125</v>
      </c>
      <c r="U6" s="962">
        <f t="shared" si="1"/>
        <v>-588453.03341934097</v>
      </c>
      <c r="V6" s="962">
        <f t="shared" si="1"/>
        <v>-587862.95590894436</v>
      </c>
      <c r="W6" s="962">
        <f t="shared" si="1"/>
        <v>-593052.35665441875</v>
      </c>
      <c r="X6" s="962">
        <f t="shared" si="1"/>
        <v>-582815.94004198059</v>
      </c>
      <c r="Y6" s="962">
        <f t="shared" si="1"/>
        <v>-581526.79217339715</v>
      </c>
      <c r="Z6" s="962">
        <f t="shared" si="1"/>
        <v>-579847.0416103123</v>
      </c>
      <c r="AA6" s="962">
        <f t="shared" si="1"/>
        <v>-577685.98673399736</v>
      </c>
      <c r="AB6" s="962">
        <f t="shared" si="1"/>
        <v>-584449.56297145737</v>
      </c>
      <c r="AC6" s="962">
        <f t="shared" si="1"/>
        <v>-571612.91286484979</v>
      </c>
      <c r="AD6" s="962">
        <f t="shared" si="1"/>
        <v>-566976.60296596482</v>
      </c>
      <c r="AE6" s="962">
        <f t="shared" si="1"/>
        <v>-559336.87614974566</v>
      </c>
      <c r="AF6" s="974">
        <f t="shared" si="1"/>
        <v>-516230.05789607746</v>
      </c>
      <c r="AG6" s="973">
        <f t="shared" si="0"/>
        <v>-34021423.644989811</v>
      </c>
    </row>
    <row r="7" spans="2:34" s="206" customFormat="1" ht="21" customHeight="1">
      <c r="B7" s="468" t="s">
        <v>230</v>
      </c>
      <c r="C7" s="576">
        <f>C8+C9+C10</f>
        <v>-563262.22957299976</v>
      </c>
      <c r="D7" s="576">
        <f t="shared" ref="D7:AF7" si="2">D8+D9+D10</f>
        <v>-345639.16425320646</v>
      </c>
      <c r="E7" s="576">
        <f t="shared" si="2"/>
        <v>-302337.51106105704</v>
      </c>
      <c r="F7" s="576">
        <f t="shared" si="2"/>
        <v>-1393737.2138793978</v>
      </c>
      <c r="G7" s="962">
        <f t="shared" si="2"/>
        <v>-5209890.1252055857</v>
      </c>
      <c r="H7" s="962">
        <f t="shared" si="2"/>
        <v>-727898.33131925284</v>
      </c>
      <c r="I7" s="962">
        <f t="shared" si="2"/>
        <v>-1713105.5265664214</v>
      </c>
      <c r="J7" s="962">
        <f t="shared" si="2"/>
        <v>-1191741.8254753242</v>
      </c>
      <c r="K7" s="962">
        <f t="shared" si="2"/>
        <v>-1924165.9188391753</v>
      </c>
      <c r="L7" s="962">
        <f t="shared" si="2"/>
        <v>-999778.07055976056</v>
      </c>
      <c r="M7" s="962">
        <f t="shared" si="2"/>
        <v>-2653505.4796216656</v>
      </c>
      <c r="N7" s="962">
        <f t="shared" si="2"/>
        <v>-2353010.2054911945</v>
      </c>
      <c r="O7" s="962">
        <f t="shared" si="2"/>
        <v>-68386.753752136574</v>
      </c>
      <c r="P7" s="962">
        <f t="shared" si="2"/>
        <v>-68386.753752136574</v>
      </c>
      <c r="Q7" s="962">
        <f t="shared" si="2"/>
        <v>-68386.753752136574</v>
      </c>
      <c r="R7" s="962">
        <f t="shared" si="2"/>
        <v>-63098.753752136574</v>
      </c>
      <c r="S7" s="962">
        <f t="shared" si="2"/>
        <v>-63098.753752136574</v>
      </c>
      <c r="T7" s="962">
        <f t="shared" si="2"/>
        <v>-63098.753752136574</v>
      </c>
      <c r="U7" s="962">
        <f t="shared" si="2"/>
        <v>-63098.753752136574</v>
      </c>
      <c r="V7" s="962">
        <f t="shared" si="2"/>
        <v>-63098.753752136574</v>
      </c>
      <c r="W7" s="962">
        <f t="shared" si="2"/>
        <v>-68793.753752136574</v>
      </c>
      <c r="X7" s="962">
        <f t="shared" si="2"/>
        <v>-59438.753752136574</v>
      </c>
      <c r="Y7" s="962">
        <f t="shared" si="2"/>
        <v>-59438.753752136574</v>
      </c>
      <c r="Z7" s="962">
        <f t="shared" si="2"/>
        <v>-59438.753752136574</v>
      </c>
      <c r="AA7" s="962">
        <f t="shared" si="2"/>
        <v>-59438.753752136574</v>
      </c>
      <c r="AB7" s="962">
        <f t="shared" si="2"/>
        <v>-68793.753752136574</v>
      </c>
      <c r="AC7" s="962">
        <f t="shared" si="2"/>
        <v>-60252.753752136574</v>
      </c>
      <c r="AD7" s="962">
        <f t="shared" si="2"/>
        <v>-61066.753752136574</v>
      </c>
      <c r="AE7" s="962">
        <f t="shared" si="2"/>
        <v>-62284.753752136574</v>
      </c>
      <c r="AF7" s="974">
        <f t="shared" si="2"/>
        <v>-59447.247996732927</v>
      </c>
      <c r="AG7" s="973">
        <f t="shared" si="0"/>
        <v>-20517119.663628064</v>
      </c>
      <c r="AH7" s="207"/>
    </row>
    <row r="8" spans="2:34" s="206" customFormat="1" ht="21" customHeight="1">
      <c r="B8" s="470" t="s">
        <v>231</v>
      </c>
      <c r="C8" s="575">
        <f>-'18 R1 Invest Total'!C4</f>
        <v>-408428.3754822117</v>
      </c>
      <c r="D8" s="575">
        <f>-'18 R1 Invest Total'!C5</f>
        <v>-329783.01199834509</v>
      </c>
      <c r="E8" s="575">
        <f>-'18 R1 Invest Total'!C6</f>
        <v>-226602.31678867349</v>
      </c>
      <c r="F8" s="575">
        <f>-'18 R1 Invest Total'!C7</f>
        <v>-1359859.3479073208</v>
      </c>
      <c r="G8" s="964">
        <f>-'18 R1 Invest Total'!C8</f>
        <v>-423362.0777800596</v>
      </c>
      <c r="H8" s="964">
        <f>-'18 R1 Invest Total'!C9</f>
        <v>-99278.617780059591</v>
      </c>
      <c r="I8" s="964">
        <f>-'18 R1 Invest Total'!C10</f>
        <v>-14581.887780059598</v>
      </c>
      <c r="J8" s="964">
        <f>-'18 R1 Invest Total'!C11</f>
        <v>-14581.887780059598</v>
      </c>
      <c r="K8" s="964">
        <f>-'18 R1 Invest Total'!C12</f>
        <v>-14581.887780059598</v>
      </c>
      <c r="L8" s="964">
        <f>-'18 R1 Invest Total'!C13</f>
        <v>-15189.887780059598</v>
      </c>
      <c r="M8" s="964">
        <f>-'18 R1 Invest Total'!C14</f>
        <v>-14785.887780059598</v>
      </c>
      <c r="N8" s="964">
        <f>-'18 R1 Invest Total'!C15</f>
        <v>-14275.887780059598</v>
      </c>
      <c r="O8" s="964">
        <f>-'18 R1 Invest Total'!C16</f>
        <v>-14275.887780059598</v>
      </c>
      <c r="P8" s="964">
        <f>-'18 R1 Invest Total'!C17</f>
        <v>-14275.887780059598</v>
      </c>
      <c r="Q8" s="964">
        <f>-'18 R1 Invest Total'!C18</f>
        <v>-14275.887780059598</v>
      </c>
      <c r="R8" s="964">
        <f>-'18 R1 Invest Total'!C19</f>
        <v>-12851.887780059598</v>
      </c>
      <c r="S8" s="964">
        <f>-'18 R1 Invest Total'!C20</f>
        <v>-12851.887780059598</v>
      </c>
      <c r="T8" s="964">
        <f>-'18 R1 Invest Total'!C21</f>
        <v>-12851.887780059598</v>
      </c>
      <c r="U8" s="964">
        <f>-'18 R1 Invest Total'!C22</f>
        <v>-12851.887780059598</v>
      </c>
      <c r="V8" s="964">
        <f>-'18 R1 Invest Total'!C23</f>
        <v>-12851.887780059598</v>
      </c>
      <c r="W8" s="964">
        <f>-'18 R1 Invest Total'!C24</f>
        <v>-14377.887780059598</v>
      </c>
      <c r="X8" s="964">
        <f>-'18 R1 Invest Total'!C25</f>
        <v>-11835.887780059598</v>
      </c>
      <c r="Y8" s="964">
        <f>-'18 R1 Invest Total'!C26</f>
        <v>-11835.887780059598</v>
      </c>
      <c r="Z8" s="964">
        <f>-'18 R1 Invest Total'!C27</f>
        <v>-11835.887780059598</v>
      </c>
      <c r="AA8" s="964">
        <f>-'18 R1 Invest Total'!C28</f>
        <v>-11835.887780059598</v>
      </c>
      <c r="AB8" s="964">
        <f>-'18 R1 Invest Total'!C29</f>
        <v>-14377.887780059598</v>
      </c>
      <c r="AC8" s="964">
        <f>-'18 R1 Invest Total'!C30</f>
        <v>-12039.887780059598</v>
      </c>
      <c r="AD8" s="964">
        <f>-'18 R1 Invest Total'!C31</f>
        <v>-12243.887780059598</v>
      </c>
      <c r="AE8" s="964">
        <f>-'18 R1 Invest Total'!C32</f>
        <v>-12647.887780059598</v>
      </c>
      <c r="AF8" s="972">
        <f>-'18 R1 Invest Total'!C33</f>
        <v>-9773.2620246559418</v>
      </c>
      <c r="AG8" s="973">
        <f t="shared" si="0"/>
        <v>-3165202.4287026967</v>
      </c>
    </row>
    <row r="9" spans="2:34" s="206" customFormat="1" ht="21" customHeight="1">
      <c r="B9" s="470" t="s">
        <v>232</v>
      </c>
      <c r="C9" s="575">
        <f>-'18 R1 Invest Total'!D4</f>
        <v>-37879.125589369905</v>
      </c>
      <c r="D9" s="575">
        <f>-'18 R1 Invest Total'!D5</f>
        <v>-571.94869673148537</v>
      </c>
      <c r="E9" s="575">
        <f>-'18 R1 Invest Total'!D6</f>
        <v>-9420.8028316306008</v>
      </c>
      <c r="F9" s="575">
        <f>-'18 R1 Invest Total'!D7</f>
        <v>-816</v>
      </c>
      <c r="G9" s="964">
        <f>-'18 R1 Invest Total'!D8</f>
        <v>-4753466.1814534497</v>
      </c>
      <c r="H9" s="964">
        <f>-'18 R1 Invest Total'!D9</f>
        <v>-595557.84756711626</v>
      </c>
      <c r="I9" s="964">
        <f>-'18 R1 Invest Total'!D10</f>
        <v>-1665461.7728142848</v>
      </c>
      <c r="J9" s="964">
        <f>-'18 R1 Invest Total'!D11</f>
        <v>-1144098.0717231876</v>
      </c>
      <c r="K9" s="964">
        <f>-'18 R1 Invest Total'!D12</f>
        <v>-1876522.1650870387</v>
      </c>
      <c r="L9" s="964">
        <f>-'18 R1 Invest Total'!D13</f>
        <v>-951526.31680762395</v>
      </c>
      <c r="M9" s="964">
        <f>-'18 R1 Invest Total'!D14</f>
        <v>-2605657.7258695289</v>
      </c>
      <c r="N9" s="964">
        <f>-'18 R1 Invest Total'!D15</f>
        <v>-2305672.4517390579</v>
      </c>
      <c r="O9" s="964">
        <f>-'18 R1 Invest Total'!D16</f>
        <v>-21049</v>
      </c>
      <c r="P9" s="964">
        <f>-'18 R1 Invest Total'!D17</f>
        <v>-21049</v>
      </c>
      <c r="Q9" s="964">
        <f>-'18 R1 Invest Total'!D18</f>
        <v>-21049</v>
      </c>
      <c r="R9" s="964">
        <f>-'18 R1 Invest Total'!D19</f>
        <v>-17185</v>
      </c>
      <c r="S9" s="964">
        <f>-'18 R1 Invest Total'!D20</f>
        <v>-17185</v>
      </c>
      <c r="T9" s="964">
        <f>-'18 R1 Invest Total'!D21</f>
        <v>-17185</v>
      </c>
      <c r="U9" s="964">
        <f>-'18 R1 Invest Total'!D22</f>
        <v>-17185</v>
      </c>
      <c r="V9" s="964">
        <f>-'18 R1 Invest Total'!D23</f>
        <v>-17185</v>
      </c>
      <c r="W9" s="964">
        <f>-'18 R1 Invest Total'!D24</f>
        <v>-21354</v>
      </c>
      <c r="X9" s="964">
        <f>-'18 R1 Invest Total'!D25</f>
        <v>-14541</v>
      </c>
      <c r="Y9" s="964">
        <f>-'18 R1 Invest Total'!D26</f>
        <v>-14541</v>
      </c>
      <c r="Z9" s="964">
        <f>-'18 R1 Invest Total'!D27</f>
        <v>-14541</v>
      </c>
      <c r="AA9" s="964">
        <f>-'18 R1 Invest Total'!D28</f>
        <v>-14541</v>
      </c>
      <c r="AB9" s="964">
        <f>-'18 R1 Invest Total'!D29</f>
        <v>-21354</v>
      </c>
      <c r="AC9" s="964">
        <f>-'18 R1 Invest Total'!D30</f>
        <v>-15151</v>
      </c>
      <c r="AD9" s="964">
        <f>-'18 R1 Invest Total'!D31</f>
        <v>-15761</v>
      </c>
      <c r="AE9" s="964">
        <f>-'18 R1 Invest Total'!D32</f>
        <v>-16575</v>
      </c>
      <c r="AF9" s="972">
        <f>-'18 R1 Invest Total'!D33</f>
        <v>-16612.120000000003</v>
      </c>
      <c r="AG9" s="973">
        <f t="shared" si="0"/>
        <v>-16260693.530179018</v>
      </c>
    </row>
    <row r="10" spans="2:34" s="206" customFormat="1" ht="21" customHeight="1">
      <c r="B10" s="470" t="s">
        <v>233</v>
      </c>
      <c r="C10" s="575">
        <f>-'18 R1 Invest Total'!E4</f>
        <v>-116954.72850141811</v>
      </c>
      <c r="D10" s="575">
        <f>-'18 R1 Invest Total'!E5</f>
        <v>-15284.203558129915</v>
      </c>
      <c r="E10" s="575">
        <f>-'18 R1 Invest Total'!E6</f>
        <v>-66314.391440752952</v>
      </c>
      <c r="F10" s="575">
        <f>-'18 R1 Invest Total'!E7</f>
        <v>-33061.865972076979</v>
      </c>
      <c r="G10" s="964">
        <f>-'18 R1 Invest Total'!E8</f>
        <v>-33061.865972076979</v>
      </c>
      <c r="H10" s="964">
        <f>-'18 R1 Invest Total'!E9</f>
        <v>-33061.865972076979</v>
      </c>
      <c r="I10" s="964">
        <f>-'18 R1 Invest Total'!E10</f>
        <v>-33061.865972076979</v>
      </c>
      <c r="J10" s="964">
        <f>-'18 R1 Invest Total'!E11</f>
        <v>-33061.865972076979</v>
      </c>
      <c r="K10" s="964">
        <f>-'18 R1 Invest Total'!E12</f>
        <v>-33061.865972076979</v>
      </c>
      <c r="L10" s="964">
        <f>-'18 R1 Invest Total'!E13</f>
        <v>-33061.865972076979</v>
      </c>
      <c r="M10" s="964">
        <f>-'18 R1 Invest Total'!E14</f>
        <v>-33061.865972076979</v>
      </c>
      <c r="N10" s="964">
        <f>-'18 R1 Invest Total'!E15</f>
        <v>-33061.865972076979</v>
      </c>
      <c r="O10" s="964">
        <f>-'18 R1 Invest Total'!E16</f>
        <v>-33061.865972076979</v>
      </c>
      <c r="P10" s="964">
        <f>-'18 R1 Invest Total'!E17</f>
        <v>-33061.865972076979</v>
      </c>
      <c r="Q10" s="964">
        <f>-'18 R1 Invest Total'!E18</f>
        <v>-33061.865972076979</v>
      </c>
      <c r="R10" s="964">
        <f>-'18 R1 Invest Total'!E19</f>
        <v>-33061.865972076979</v>
      </c>
      <c r="S10" s="964">
        <f>-'18 R1 Invest Total'!E20</f>
        <v>-33061.865972076979</v>
      </c>
      <c r="T10" s="964">
        <f>-'18 R1 Invest Total'!E21</f>
        <v>-33061.865972076979</v>
      </c>
      <c r="U10" s="964">
        <f>-'18 R1 Invest Total'!E22</f>
        <v>-33061.865972076979</v>
      </c>
      <c r="V10" s="964">
        <f>-'18 R1 Invest Total'!E23</f>
        <v>-33061.865972076979</v>
      </c>
      <c r="W10" s="964">
        <f>-'18 R1 Invest Total'!E24</f>
        <v>-33061.865972076979</v>
      </c>
      <c r="X10" s="964">
        <f>-'18 R1 Invest Total'!E25</f>
        <v>-33061.865972076979</v>
      </c>
      <c r="Y10" s="964">
        <f>-'18 R1 Invest Total'!E26</f>
        <v>-33061.865972076979</v>
      </c>
      <c r="Z10" s="964">
        <f>-'18 R1 Invest Total'!E27</f>
        <v>-33061.865972076979</v>
      </c>
      <c r="AA10" s="964">
        <f>-'18 R1 Invest Total'!E28</f>
        <v>-33061.865972076979</v>
      </c>
      <c r="AB10" s="964">
        <f>-'18 R1 Invest Total'!E29</f>
        <v>-33061.865972076979</v>
      </c>
      <c r="AC10" s="964">
        <f>-'18 R1 Invest Total'!E30</f>
        <v>-33061.865972076979</v>
      </c>
      <c r="AD10" s="964">
        <f>-'18 R1 Invest Total'!E31</f>
        <v>-33061.865972076979</v>
      </c>
      <c r="AE10" s="964">
        <f>-'18 R1 Invest Total'!E32</f>
        <v>-33061.865972076979</v>
      </c>
      <c r="AF10" s="972">
        <f>-'18 R1 Invest Total'!E33</f>
        <v>-33061.865972076979</v>
      </c>
      <c r="AG10" s="973">
        <f t="shared" si="0"/>
        <v>-1091223.70474638</v>
      </c>
    </row>
    <row r="11" spans="2:34" s="206" customFormat="1" ht="21" customHeight="1">
      <c r="B11" s="468" t="s">
        <v>234</v>
      </c>
      <c r="C11" s="576">
        <f>C12+C13</f>
        <v>0</v>
      </c>
      <c r="D11" s="576">
        <f t="shared" ref="D11:AF11" si="3">D12+D13</f>
        <v>-216017.566127244</v>
      </c>
      <c r="E11" s="576">
        <f t="shared" si="3"/>
        <v>-224220.92328385104</v>
      </c>
      <c r="F11" s="576">
        <f t="shared" si="3"/>
        <v>-262594.52327203582</v>
      </c>
      <c r="G11" s="962">
        <f t="shared" si="3"/>
        <v>-283413.16207445663</v>
      </c>
      <c r="H11" s="962">
        <f t="shared" si="3"/>
        <v>-305973.03894005297</v>
      </c>
      <c r="I11" s="962">
        <f t="shared" si="3"/>
        <v>-420772.9334162235</v>
      </c>
      <c r="J11" s="962">
        <f t="shared" si="3"/>
        <v>-475290.4341346873</v>
      </c>
      <c r="K11" s="962">
        <f t="shared" si="3"/>
        <v>-458974.71950863185</v>
      </c>
      <c r="L11" s="962">
        <f t="shared" si="3"/>
        <v>-476862.42274703889</v>
      </c>
      <c r="M11" s="962">
        <f t="shared" si="3"/>
        <v>-519648.47210138076</v>
      </c>
      <c r="N11" s="962">
        <f t="shared" si="3"/>
        <v>-562433.75746361515</v>
      </c>
      <c r="O11" s="962">
        <f t="shared" si="3"/>
        <v>-524789.42857495346</v>
      </c>
      <c r="P11" s="962">
        <f t="shared" si="3"/>
        <v>-525245.78284195298</v>
      </c>
      <c r="Q11" s="962">
        <f t="shared" si="3"/>
        <v>-525616.62929213652</v>
      </c>
      <c r="R11" s="962">
        <f t="shared" si="3"/>
        <v>-525765.61824648757</v>
      </c>
      <c r="S11" s="962">
        <f t="shared" si="3"/>
        <v>-525775.564348988</v>
      </c>
      <c r="T11" s="962">
        <f t="shared" si="3"/>
        <v>-525650.42486772465</v>
      </c>
      <c r="U11" s="962">
        <f t="shared" si="3"/>
        <v>-525354.27966720436</v>
      </c>
      <c r="V11" s="962">
        <f t="shared" si="3"/>
        <v>-524764.20215680776</v>
      </c>
      <c r="W11" s="962">
        <f t="shared" si="3"/>
        <v>-524258.60290228215</v>
      </c>
      <c r="X11" s="962">
        <f t="shared" si="3"/>
        <v>-523377.18628984399</v>
      </c>
      <c r="Y11" s="962">
        <f t="shared" si="3"/>
        <v>-522088.0384212606</v>
      </c>
      <c r="Z11" s="962">
        <f t="shared" si="3"/>
        <v>-520408.2878581757</v>
      </c>
      <c r="AA11" s="962">
        <f t="shared" si="3"/>
        <v>-518247.23298186075</v>
      </c>
      <c r="AB11" s="962">
        <f t="shared" si="3"/>
        <v>-515655.80921932077</v>
      </c>
      <c r="AC11" s="962">
        <f t="shared" si="3"/>
        <v>-511360.15911271318</v>
      </c>
      <c r="AD11" s="962">
        <f t="shared" si="3"/>
        <v>-505909.84921382822</v>
      </c>
      <c r="AE11" s="962">
        <f t="shared" si="3"/>
        <v>-497052.12239760906</v>
      </c>
      <c r="AF11" s="974">
        <f t="shared" si="3"/>
        <v>-456782.80989934452</v>
      </c>
      <c r="AG11" s="973">
        <f t="shared" si="0"/>
        <v>-13504303.981361708</v>
      </c>
    </row>
    <row r="12" spans="2:34" s="206" customFormat="1" ht="21" customHeight="1">
      <c r="B12" s="469" t="s">
        <v>235</v>
      </c>
      <c r="C12" s="575">
        <f>'TS-R1 DRE'!C26</f>
        <v>0</v>
      </c>
      <c r="D12" s="575">
        <f>'TS-R1 DRE'!D26</f>
        <v>-152483.50450532648</v>
      </c>
      <c r="E12" s="575">
        <f>'TS-R1 DRE'!E26</f>
        <v>-158515.38476753753</v>
      </c>
      <c r="F12" s="575">
        <f>'TS-R1 DRE'!F26</f>
        <v>-186731.26711179104</v>
      </c>
      <c r="G12" s="972">
        <f>'TS-R1 DRE'!G26</f>
        <v>-202039.08976062987</v>
      </c>
      <c r="H12" s="972">
        <f>'TS-R1 DRE'!H26</f>
        <v>-218627.23451474484</v>
      </c>
      <c r="I12" s="972">
        <f>'TS-R1 DRE'!I26</f>
        <v>-303038.92162957613</v>
      </c>
      <c r="J12" s="972">
        <f>'TS-R1 DRE'!J26</f>
        <v>-343125.31921668182</v>
      </c>
      <c r="K12" s="972">
        <f>'TS-R1 DRE'!K26</f>
        <v>-331128.47022693517</v>
      </c>
      <c r="L12" s="972">
        <f>'TS-R1 DRE'!L26</f>
        <v>-344281.19319635211</v>
      </c>
      <c r="M12" s="972">
        <f>'TS-R1 DRE'!M26</f>
        <v>-375741.52360395645</v>
      </c>
      <c r="N12" s="972">
        <f>'TS-R1 DRE'!N26</f>
        <v>-407201.29225265817</v>
      </c>
      <c r="O12" s="972">
        <f>'TS-R1 DRE'!O26</f>
        <v>-379521.63865805406</v>
      </c>
      <c r="P12" s="972">
        <f>'TS-R1 DRE'!P26</f>
        <v>-379857.19326614193</v>
      </c>
      <c r="Q12" s="972">
        <f>'TS-R1 DRE'!Q26</f>
        <v>-380129.8744795121</v>
      </c>
      <c r="R12" s="972">
        <f>'TS-R1 DRE'!R26</f>
        <v>-380239.42518124089</v>
      </c>
      <c r="S12" s="972">
        <f>'TS-R1 DRE'!S26</f>
        <v>-380246.73849190294</v>
      </c>
      <c r="T12" s="972">
        <f>'TS-R1 DRE'!T26</f>
        <v>-380154.72416744463</v>
      </c>
      <c r="U12" s="972">
        <f>'TS-R1 DRE'!U26</f>
        <v>-379936.97034353262</v>
      </c>
      <c r="V12" s="972">
        <f>'TS-R1 DRE'!V26</f>
        <v>-379503.08982118219</v>
      </c>
      <c r="W12" s="972">
        <f>'TS-R1 DRE'!W26</f>
        <v>-379131.32566344272</v>
      </c>
      <c r="X12" s="972">
        <f>'TS-R1 DRE'!X26</f>
        <v>-378483.22521312058</v>
      </c>
      <c r="Y12" s="972">
        <f>'TS-R1 DRE'!Y26</f>
        <v>-377535.32236857398</v>
      </c>
      <c r="Z12" s="972">
        <f>'TS-R1 DRE'!Z26</f>
        <v>-376300.21166042332</v>
      </c>
      <c r="AA12" s="972">
        <f>'TS-R1 DRE'!AA26</f>
        <v>-374711.20072195644</v>
      </c>
      <c r="AB12" s="972">
        <f>'TS-R1 DRE'!AB26</f>
        <v>-372805.74207302998</v>
      </c>
      <c r="AC12" s="972">
        <f>'TS-R1 DRE'!AC26</f>
        <v>-369647.17581817147</v>
      </c>
      <c r="AD12" s="972">
        <f>'TS-R1 DRE'!AD26</f>
        <v>-365639.5950101678</v>
      </c>
      <c r="AE12" s="972">
        <f>'TS-R1 DRE'!AE26</f>
        <v>-359126.56058647728</v>
      </c>
      <c r="AF12" s="972">
        <f>'TS-R1 DRE'!AF26</f>
        <v>-329516.77198481216</v>
      </c>
      <c r="AG12" s="973">
        <f t="shared" si="0"/>
        <v>-9745399.9862953778</v>
      </c>
    </row>
    <row r="13" spans="2:34" s="206" customFormat="1" ht="21" customHeight="1" thickBot="1">
      <c r="B13" s="476" t="s">
        <v>236</v>
      </c>
      <c r="C13" s="575">
        <f>'TS-R1 DRE'!C27</f>
        <v>0</v>
      </c>
      <c r="D13" s="575">
        <f>'TS-R1 DRE'!D27</f>
        <v>-63534.061621917528</v>
      </c>
      <c r="E13" s="575">
        <f>'TS-R1 DRE'!E27</f>
        <v>-65705.538516313507</v>
      </c>
      <c r="F13" s="575">
        <f>'TS-R1 DRE'!F27</f>
        <v>-75863.256160244768</v>
      </c>
      <c r="G13" s="972">
        <f>'TS-R1 DRE'!G27</f>
        <v>-81374.072313826749</v>
      </c>
      <c r="H13" s="972">
        <f>'TS-R1 DRE'!H27</f>
        <v>-87345.804425308132</v>
      </c>
      <c r="I13" s="972">
        <f>'TS-R1 DRE'!I27</f>
        <v>-117734.0117866474</v>
      </c>
      <c r="J13" s="972">
        <f>'TS-R1 DRE'!J27</f>
        <v>-132165.11491800545</v>
      </c>
      <c r="K13" s="972">
        <f>'TS-R1 DRE'!K27</f>
        <v>-127846.24928169666</v>
      </c>
      <c r="L13" s="972">
        <f>'TS-R1 DRE'!L27</f>
        <v>-132581.22955068675</v>
      </c>
      <c r="M13" s="972">
        <f>'TS-R1 DRE'!M27</f>
        <v>-143906.94849742431</v>
      </c>
      <c r="N13" s="972">
        <f>'TS-R1 DRE'!N27</f>
        <v>-155232.46521095693</v>
      </c>
      <c r="O13" s="972">
        <f>'TS-R1 DRE'!O27</f>
        <v>-145267.78991689946</v>
      </c>
      <c r="P13" s="972">
        <f>'TS-R1 DRE'!P27</f>
        <v>-145388.58957581109</v>
      </c>
      <c r="Q13" s="972">
        <f>'TS-R1 DRE'!Q27</f>
        <v>-145486.75481262436</v>
      </c>
      <c r="R13" s="972">
        <f>'TS-R1 DRE'!R27</f>
        <v>-145526.19306524671</v>
      </c>
      <c r="S13" s="972">
        <f>'TS-R1 DRE'!S27</f>
        <v>-145528.82585708506</v>
      </c>
      <c r="T13" s="972">
        <f>'TS-R1 DRE'!T27</f>
        <v>-145495.70070028005</v>
      </c>
      <c r="U13" s="972">
        <f>'TS-R1 DRE'!U27</f>
        <v>-145417.30932367177</v>
      </c>
      <c r="V13" s="972">
        <f>'TS-R1 DRE'!V27</f>
        <v>-145261.11233562557</v>
      </c>
      <c r="W13" s="972">
        <f>'TS-R1 DRE'!W27</f>
        <v>-145127.27723883939</v>
      </c>
      <c r="X13" s="972">
        <f>'TS-R1 DRE'!X27</f>
        <v>-144893.96107672341</v>
      </c>
      <c r="Y13" s="972">
        <f>'TS-R1 DRE'!Y27</f>
        <v>-144552.71605268662</v>
      </c>
      <c r="Z13" s="972">
        <f>'TS-R1 DRE'!Z27</f>
        <v>-144108.07619775238</v>
      </c>
      <c r="AA13" s="972">
        <f>'TS-R1 DRE'!AA27</f>
        <v>-143536.03225990431</v>
      </c>
      <c r="AB13" s="972">
        <f>'TS-R1 DRE'!AB27</f>
        <v>-142850.06714629079</v>
      </c>
      <c r="AC13" s="972">
        <f>'TS-R1 DRE'!AC27</f>
        <v>-141712.98329454171</v>
      </c>
      <c r="AD13" s="972">
        <f>'TS-R1 DRE'!AD27</f>
        <v>-140270.25420366041</v>
      </c>
      <c r="AE13" s="972">
        <f>'TS-R1 DRE'!AE27</f>
        <v>-137925.5618111318</v>
      </c>
      <c r="AF13" s="972">
        <f>'TS-R1 DRE'!AF27</f>
        <v>-127266.03791453237</v>
      </c>
      <c r="AG13" s="975">
        <f t="shared" si="0"/>
        <v>-3758903.9950663359</v>
      </c>
    </row>
    <row r="14" spans="2:34" s="206" customFormat="1" ht="21" customHeight="1" thickBot="1">
      <c r="B14" s="472" t="s">
        <v>237</v>
      </c>
      <c r="C14" s="881">
        <f>C4+C6</f>
        <v>-218809.77007688157</v>
      </c>
      <c r="D14" s="881">
        <f t="shared" ref="D14:AF14" si="4">D4+D6</f>
        <v>163700.12314337259</v>
      </c>
      <c r="E14" s="881">
        <f t="shared" si="4"/>
        <v>235270.19609394518</v>
      </c>
      <c r="F14" s="881">
        <f t="shared" si="4"/>
        <v>-770441.89174071245</v>
      </c>
      <c r="G14" s="976">
        <f t="shared" si="4"/>
        <v>-4492576.8738170657</v>
      </c>
      <c r="H14" s="976">
        <f t="shared" si="4"/>
        <v>241603.22722835408</v>
      </c>
      <c r="I14" s="976">
        <f t="shared" si="4"/>
        <v>-490428.01689735753</v>
      </c>
      <c r="J14" s="976">
        <f t="shared" si="4"/>
        <v>211246.62280484731</v>
      </c>
      <c r="K14" s="976">
        <f t="shared" si="4"/>
        <v>-498679.06891578413</v>
      </c>
      <c r="L14" s="976">
        <f t="shared" si="4"/>
        <v>552058.9165190428</v>
      </c>
      <c r="M14" s="976">
        <f t="shared" si="4"/>
        <v>-968624.31673879875</v>
      </c>
      <c r="N14" s="976">
        <f t="shared" si="4"/>
        <v>-445417.070237773</v>
      </c>
      <c r="O14" s="976">
        <f t="shared" si="4"/>
        <v>1896854.8852054856</v>
      </c>
      <c r="P14" s="976">
        <f t="shared" si="4"/>
        <v>1901763.4995915513</v>
      </c>
      <c r="Q14" s="976">
        <f t="shared" si="4"/>
        <v>1906757.5501043573</v>
      </c>
      <c r="R14" s="976">
        <f t="shared" si="4"/>
        <v>1916893.8808737302</v>
      </c>
      <c r="S14" s="976">
        <f t="shared" si="4"/>
        <v>1921420.2418533165</v>
      </c>
      <c r="T14" s="976">
        <f t="shared" si="4"/>
        <v>1926031.0743253725</v>
      </c>
      <c r="U14" s="976">
        <f t="shared" si="4"/>
        <v>1930714.4337095898</v>
      </c>
      <c r="V14" s="976">
        <f t="shared" si="4"/>
        <v>1935305.2394716875</v>
      </c>
      <c r="W14" s="976">
        <f t="shared" si="4"/>
        <v>1934938.6574704694</v>
      </c>
      <c r="X14" s="976">
        <f t="shared" si="4"/>
        <v>1950226.4226985225</v>
      </c>
      <c r="Y14" s="976">
        <f t="shared" si="4"/>
        <v>1955153.8034079368</v>
      </c>
      <c r="Z14" s="976">
        <f t="shared" si="4"/>
        <v>1960384.3616744387</v>
      </c>
      <c r="AA14" s="976">
        <f t="shared" si="4"/>
        <v>1966095.8317555757</v>
      </c>
      <c r="AB14" s="976">
        <f t="shared" si="4"/>
        <v>1963598.1716728369</v>
      </c>
      <c r="AC14" s="976">
        <f t="shared" si="4"/>
        <v>1980998.9951980445</v>
      </c>
      <c r="AD14" s="976">
        <f t="shared" si="4"/>
        <v>1989689.233115627</v>
      </c>
      <c r="AE14" s="976">
        <f t="shared" si="4"/>
        <v>2001810.1991131525</v>
      </c>
      <c r="AF14" s="977">
        <f t="shared" si="4"/>
        <v>2048209.8647090297</v>
      </c>
      <c r="AG14" s="978">
        <f t="shared" si="0"/>
        <v>28605748.423315916</v>
      </c>
      <c r="AH14" s="207"/>
    </row>
    <row r="15" spans="2:34" s="206" customFormat="1" ht="21" customHeight="1" thickBot="1">
      <c r="B15" s="472" t="s">
        <v>238</v>
      </c>
      <c r="C15" s="883">
        <f>IRR(C14:AF14)</f>
        <v>0.1260879779709021</v>
      </c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10"/>
      <c r="W15" s="110"/>
      <c r="X15" s="110"/>
      <c r="Y15" s="110"/>
      <c r="Z15" s="110"/>
      <c r="AA15" s="110"/>
      <c r="AB15" s="110"/>
      <c r="AC15" s="110"/>
      <c r="AD15" s="110"/>
      <c r="AE15" s="110"/>
      <c r="AF15" s="110"/>
      <c r="AG15" s="136"/>
    </row>
    <row r="16" spans="2:34" s="206" customFormat="1" ht="6" customHeight="1">
      <c r="B16" s="359"/>
      <c r="C16" s="473"/>
      <c r="D16" s="474"/>
      <c r="E16" s="136"/>
      <c r="F16" s="136"/>
      <c r="G16" s="136"/>
      <c r="H16" s="136"/>
      <c r="I16" s="136"/>
      <c r="J16" s="136"/>
      <c r="K16" s="136"/>
      <c r="L16" s="136"/>
      <c r="M16" s="136"/>
      <c r="N16" s="136"/>
      <c r="O16" s="136"/>
      <c r="P16" s="136"/>
      <c r="Q16" s="136"/>
      <c r="R16" s="359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136"/>
      <c r="AF16" s="136"/>
      <c r="AG16" s="136"/>
    </row>
    <row r="17" spans="2:34" s="206" customFormat="1" ht="21" customHeight="1" thickBot="1">
      <c r="B17" s="359"/>
      <c r="C17" s="473" t="s">
        <v>354</v>
      </c>
      <c r="D17" s="473" t="s">
        <v>355</v>
      </c>
      <c r="E17" s="473" t="s">
        <v>356</v>
      </c>
      <c r="F17" s="473" t="s">
        <v>357</v>
      </c>
      <c r="G17" s="136"/>
      <c r="H17" s="136"/>
      <c r="I17" s="136"/>
      <c r="J17" s="136"/>
      <c r="K17" s="136"/>
      <c r="L17" s="136"/>
      <c r="M17" s="136"/>
      <c r="N17" s="136"/>
      <c r="O17" s="136"/>
      <c r="P17" s="136"/>
      <c r="Q17" s="136"/>
      <c r="R17" s="359"/>
      <c r="S17" s="136"/>
      <c r="T17" s="136"/>
      <c r="U17" s="136"/>
      <c r="V17" s="136"/>
      <c r="W17" s="136"/>
      <c r="X17" s="136"/>
      <c r="Y17" s="136"/>
      <c r="Z17" s="136"/>
      <c r="AA17" s="136"/>
      <c r="AB17" s="136"/>
      <c r="AC17" s="136"/>
      <c r="AD17" s="136"/>
      <c r="AE17" s="136"/>
      <c r="AF17" s="136"/>
      <c r="AG17" s="136"/>
    </row>
    <row r="18" spans="2:34" s="206" customFormat="1" ht="21" customHeight="1" thickBot="1">
      <c r="B18" s="580" t="s">
        <v>399</v>
      </c>
      <c r="C18" s="581">
        <v>5.8799999999999998E-2</v>
      </c>
      <c r="D18" s="581">
        <f>C18</f>
        <v>5.8799999999999998E-2</v>
      </c>
      <c r="E18" s="581">
        <f t="shared" ref="E18:F18" si="5">D18</f>
        <v>5.8799999999999998E-2</v>
      </c>
      <c r="F18" s="581">
        <f t="shared" si="5"/>
        <v>5.8799999999999998E-2</v>
      </c>
      <c r="G18" s="136"/>
      <c r="J18" s="136"/>
      <c r="K18" s="136"/>
      <c r="L18" s="136"/>
      <c r="M18" s="136"/>
      <c r="N18" s="136"/>
      <c r="O18" s="136"/>
      <c r="P18" s="136"/>
      <c r="Q18" s="136"/>
      <c r="R18" s="359"/>
      <c r="S18" s="136"/>
      <c r="T18" s="136"/>
      <c r="U18" s="136"/>
      <c r="V18" s="136"/>
      <c r="W18" s="136"/>
      <c r="X18" s="136"/>
      <c r="Y18" s="136"/>
      <c r="Z18" s="136"/>
      <c r="AA18" s="136"/>
      <c r="AB18" s="136"/>
      <c r="AC18" s="136"/>
      <c r="AD18" s="136"/>
      <c r="AE18" s="136"/>
      <c r="AF18" s="136"/>
      <c r="AG18" s="136"/>
    </row>
    <row r="19" spans="2:34" s="206" customFormat="1" ht="6" customHeight="1" thickBot="1">
      <c r="B19" s="582"/>
      <c r="C19" s="583"/>
      <c r="D19" s="474"/>
      <c r="E19" s="136"/>
      <c r="F19" s="136"/>
      <c r="G19" s="136"/>
      <c r="H19" s="136"/>
      <c r="I19" s="136"/>
      <c r="J19" s="136"/>
      <c r="K19" s="136"/>
      <c r="L19" s="136"/>
      <c r="M19" s="136"/>
      <c r="N19" s="136"/>
      <c r="O19" s="136"/>
      <c r="P19" s="136"/>
      <c r="Q19" s="136"/>
      <c r="R19" s="359"/>
      <c r="S19" s="136"/>
      <c r="T19" s="136"/>
      <c r="U19" s="136"/>
      <c r="V19" s="136"/>
      <c r="W19" s="136"/>
      <c r="X19" s="136"/>
      <c r="Y19" s="136"/>
      <c r="Z19" s="136"/>
      <c r="AA19" s="136"/>
      <c r="AB19" s="136"/>
      <c r="AC19" s="136"/>
      <c r="AD19" s="136"/>
      <c r="AE19" s="136"/>
      <c r="AF19" s="136"/>
      <c r="AG19" s="136"/>
    </row>
    <row r="20" spans="2:34" s="206" customFormat="1" ht="23.25" customHeight="1" thickBot="1">
      <c r="B20" s="582" t="s">
        <v>560</v>
      </c>
      <c r="C20" s="581">
        <v>0.9</v>
      </c>
      <c r="D20" s="581">
        <v>1</v>
      </c>
      <c r="E20" s="581">
        <v>1</v>
      </c>
      <c r="F20" s="581">
        <v>1</v>
      </c>
      <c r="G20" s="136"/>
      <c r="H20" s="136"/>
      <c r="I20" s="136"/>
      <c r="J20" s="136"/>
      <c r="K20" s="136"/>
      <c r="L20" s="136"/>
      <c r="M20" s="136"/>
      <c r="N20" s="136"/>
      <c r="O20" s="136"/>
      <c r="P20" s="136"/>
      <c r="Q20" s="136"/>
      <c r="R20" s="359"/>
      <c r="S20" s="136"/>
      <c r="T20" s="136"/>
      <c r="U20" s="136"/>
      <c r="V20" s="136"/>
      <c r="W20" s="136"/>
      <c r="X20" s="136"/>
      <c r="Y20" s="136"/>
      <c r="Z20" s="136"/>
      <c r="AA20" s="136"/>
      <c r="AB20" s="136"/>
      <c r="AC20" s="136"/>
      <c r="AD20" s="136"/>
      <c r="AE20" s="136"/>
      <c r="AF20" s="136"/>
      <c r="AG20" s="136"/>
    </row>
    <row r="21" spans="2:34" s="206" customFormat="1" ht="6" customHeight="1">
      <c r="B21" s="582"/>
      <c r="C21" s="583"/>
      <c r="D21" s="474"/>
      <c r="E21" s="136"/>
      <c r="F21" s="136"/>
      <c r="G21" s="136"/>
      <c r="H21" s="136"/>
      <c r="I21" s="136"/>
      <c r="J21" s="136"/>
      <c r="K21" s="136"/>
      <c r="L21" s="136"/>
      <c r="M21" s="136"/>
      <c r="N21" s="136"/>
      <c r="O21" s="136"/>
      <c r="P21" s="136"/>
      <c r="Q21" s="136"/>
      <c r="R21" s="359"/>
      <c r="S21" s="136"/>
      <c r="T21" s="136"/>
      <c r="U21" s="136"/>
      <c r="V21" s="136"/>
      <c r="W21" s="136"/>
      <c r="X21" s="136"/>
      <c r="Y21" s="136"/>
      <c r="Z21" s="136"/>
      <c r="AA21" s="136"/>
      <c r="AB21" s="136"/>
      <c r="AC21" s="136"/>
      <c r="AD21" s="136"/>
      <c r="AE21" s="136"/>
      <c r="AF21" s="136"/>
      <c r="AG21" s="136"/>
    </row>
    <row r="22" spans="2:34" s="206" customFormat="1" ht="6" customHeight="1">
      <c r="E22" s="136"/>
      <c r="F22" s="136"/>
      <c r="G22" s="136"/>
      <c r="H22" s="136"/>
      <c r="I22" s="136"/>
      <c r="J22" s="136"/>
      <c r="K22" s="136"/>
      <c r="L22" s="136"/>
      <c r="M22" s="136"/>
      <c r="N22" s="136"/>
      <c r="O22" s="136"/>
      <c r="P22" s="136"/>
      <c r="Q22" s="136"/>
      <c r="R22" s="359"/>
      <c r="S22" s="136"/>
      <c r="T22" s="136"/>
      <c r="U22" s="136"/>
      <c r="V22" s="136"/>
      <c r="W22" s="136"/>
      <c r="X22" s="136"/>
      <c r="Y22" s="136"/>
      <c r="Z22" s="136"/>
      <c r="AA22" s="136"/>
      <c r="AB22" s="136"/>
      <c r="AC22" s="136"/>
      <c r="AD22" s="136"/>
      <c r="AE22" s="136"/>
      <c r="AF22" s="136"/>
      <c r="AG22" s="136"/>
    </row>
    <row r="23" spans="2:34" s="206" customFormat="1" ht="21" customHeight="1">
      <c r="B23" s="359"/>
      <c r="C23" s="1209" t="s">
        <v>569</v>
      </c>
      <c r="D23" s="1209"/>
      <c r="E23" s="1209"/>
      <c r="F23" s="1209"/>
      <c r="G23" s="1209"/>
      <c r="H23" s="1209"/>
      <c r="I23" s="1209"/>
      <c r="J23" s="1209"/>
      <c r="K23" s="136"/>
      <c r="L23" s="136"/>
      <c r="M23" s="136"/>
      <c r="N23" s="136"/>
      <c r="O23" s="136"/>
      <c r="P23" s="136"/>
      <c r="Q23" s="136"/>
      <c r="R23" s="359"/>
      <c r="S23" s="136"/>
      <c r="T23" s="136"/>
      <c r="U23" s="136"/>
      <c r="V23" s="136"/>
      <c r="W23" s="136"/>
      <c r="X23" s="136"/>
      <c r="Y23" s="136"/>
      <c r="Z23" s="136"/>
      <c r="AA23" s="136"/>
      <c r="AB23" s="136"/>
      <c r="AC23" s="136"/>
      <c r="AD23" s="136"/>
      <c r="AE23" s="136"/>
      <c r="AF23" s="136"/>
      <c r="AG23" s="136"/>
    </row>
    <row r="24" spans="2:34" s="206" customFormat="1" ht="21" customHeight="1">
      <c r="B24" s="359" t="s">
        <v>509</v>
      </c>
      <c r="C24" s="1209"/>
      <c r="D24" s="1209"/>
      <c r="E24" s="1209"/>
      <c r="F24" s="1209"/>
      <c r="G24" s="1209"/>
      <c r="H24" s="1209"/>
      <c r="I24" s="1209"/>
      <c r="J24" s="1209"/>
      <c r="K24" s="136"/>
      <c r="L24" s="136"/>
      <c r="M24" s="136"/>
      <c r="N24" s="136"/>
      <c r="O24" s="136"/>
      <c r="P24" s="136"/>
      <c r="Q24" s="136"/>
      <c r="R24" s="359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36"/>
      <c r="AE24" s="136"/>
      <c r="AF24" s="136"/>
      <c r="AG24" s="136"/>
    </row>
    <row r="25" spans="2:34" s="206" customFormat="1" ht="21" customHeight="1">
      <c r="B25" s="359"/>
      <c r="C25" s="473"/>
      <c r="D25" s="474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359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6"/>
      <c r="AE25" s="136"/>
      <c r="AF25" s="136"/>
      <c r="AG25" s="136"/>
    </row>
    <row r="26" spans="2:34" s="206" customFormat="1" ht="21" customHeight="1"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8"/>
      <c r="AB26" s="208"/>
      <c r="AC26" s="208"/>
      <c r="AD26" s="208"/>
      <c r="AE26" s="208"/>
      <c r="AF26" s="208"/>
      <c r="AG26" s="208"/>
    </row>
    <row r="27" spans="2:34" s="206" customFormat="1" ht="21" customHeight="1">
      <c r="B27" s="349" t="s">
        <v>267</v>
      </c>
      <c r="C27" s="351">
        <v>0.98980000000000001</v>
      </c>
      <c r="D27" s="355">
        <f>(1-C27)</f>
        <v>1.0199999999999987E-2</v>
      </c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S27" s="208"/>
      <c r="T27" s="208"/>
      <c r="U27" s="208"/>
      <c r="V27" s="208"/>
      <c r="W27" s="208"/>
      <c r="X27" s="208"/>
      <c r="Y27" s="208"/>
      <c r="Z27" s="208"/>
      <c r="AA27" s="208"/>
      <c r="AB27" s="208"/>
      <c r="AC27" s="208"/>
      <c r="AD27" s="208"/>
      <c r="AE27" s="208"/>
      <c r="AF27" s="208"/>
      <c r="AG27" s="208"/>
    </row>
    <row r="28" spans="2:34" s="206" customFormat="1" ht="21" customHeight="1">
      <c r="B28" s="350" t="s">
        <v>265</v>
      </c>
      <c r="C28" s="352">
        <v>0.88</v>
      </c>
      <c r="D28" s="353">
        <f>'8 R1 RH'!J34</f>
        <v>22974264.289999995</v>
      </c>
      <c r="E28" s="353">
        <v>23813085.359999999</v>
      </c>
      <c r="F28" s="353">
        <f>E28-D28</f>
        <v>838821.07000000402</v>
      </c>
      <c r="G28" s="208"/>
      <c r="H28" s="208"/>
      <c r="I28" s="208"/>
      <c r="J28" s="208"/>
      <c r="K28" s="208"/>
      <c r="L28" s="208"/>
      <c r="M28" s="208"/>
      <c r="N28" s="208"/>
      <c r="O28" s="208"/>
      <c r="P28" s="208"/>
      <c r="Q28" s="208"/>
      <c r="R28" s="209"/>
      <c r="S28" s="208"/>
      <c r="T28" s="208"/>
      <c r="U28" s="208"/>
      <c r="V28" s="208"/>
      <c r="W28" s="208"/>
      <c r="X28" s="208"/>
      <c r="Y28" s="208"/>
      <c r="Z28" s="208"/>
      <c r="AA28" s="208"/>
      <c r="AB28" s="208"/>
      <c r="AC28" s="208"/>
      <c r="AD28" s="208"/>
      <c r="AE28" s="208"/>
      <c r="AF28" s="208"/>
      <c r="AG28" s="208"/>
    </row>
    <row r="29" spans="2:34" s="206" customFormat="1" ht="21">
      <c r="B29" s="350" t="s">
        <v>266</v>
      </c>
      <c r="C29" s="352">
        <v>1</v>
      </c>
      <c r="D29" s="353">
        <f>'9 R1 EE'!W37</f>
        <v>14615965.937531685</v>
      </c>
      <c r="E29" s="353">
        <v>10129922.249374423</v>
      </c>
      <c r="F29" s="353">
        <f>E29-D29</f>
        <v>-4486043.6881572623</v>
      </c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8"/>
      <c r="AB29" s="208"/>
      <c r="AC29" s="208"/>
      <c r="AD29" s="208"/>
      <c r="AE29" s="208"/>
      <c r="AF29" s="208"/>
      <c r="AG29" s="208"/>
    </row>
    <row r="30" spans="2:34" s="206" customFormat="1" ht="21">
      <c r="B30" s="350" t="s">
        <v>171</v>
      </c>
      <c r="C30" s="352">
        <v>0.8</v>
      </c>
      <c r="D30" s="353">
        <f>'16 R1 OPEX'!F35+'16 R1 OPEX'!I35</f>
        <v>15711936.01336449</v>
      </c>
      <c r="E30" s="353">
        <v>19639920.01670561</v>
      </c>
      <c r="F30" s="353">
        <f>E30-D30</f>
        <v>3927984.0033411197</v>
      </c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8"/>
    </row>
    <row r="31" spans="2:34" s="206" customFormat="1" ht="12">
      <c r="C31" s="207"/>
      <c r="D31" s="353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8"/>
    </row>
    <row r="32" spans="2:34" s="206" customFormat="1" ht="12">
      <c r="C32" s="207"/>
      <c r="D32" s="207"/>
      <c r="E32" s="207"/>
      <c r="F32" s="354">
        <f>SUM(F28:F31)</f>
        <v>280761.38518386148</v>
      </c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8"/>
      <c r="AH32" s="207"/>
    </row>
    <row r="33" spans="2:33" s="206" customFormat="1" ht="12"/>
    <row r="34" spans="2:33" s="206" customFormat="1" ht="12">
      <c r="B34" s="210"/>
      <c r="C34" s="211"/>
    </row>
    <row r="35" spans="2:33" s="206" customFormat="1" ht="12">
      <c r="B35" s="210"/>
      <c r="C35" s="211"/>
    </row>
    <row r="36" spans="2:33" s="206" customFormat="1" ht="12"/>
    <row r="37" spans="2:33" s="206" customFormat="1" ht="12">
      <c r="B37" s="212"/>
      <c r="C37" s="211"/>
    </row>
    <row r="38" spans="2:33" s="206" customFormat="1" ht="12">
      <c r="B38" s="212"/>
      <c r="C38" s="211"/>
    </row>
    <row r="39" spans="2:33" s="206" customFormat="1" ht="12">
      <c r="C39" s="213"/>
    </row>
    <row r="40" spans="2:33">
      <c r="C40" s="214"/>
      <c r="D40" s="214"/>
      <c r="E40" s="214"/>
      <c r="F40" s="214"/>
      <c r="G40" s="214"/>
      <c r="H40" s="214"/>
      <c r="I40" s="214"/>
      <c r="J40" s="214"/>
      <c r="K40" s="214"/>
      <c r="L40" s="214"/>
      <c r="M40" s="214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  <c r="Y40" s="214"/>
      <c r="Z40" s="214"/>
      <c r="AA40" s="214"/>
      <c r="AB40" s="214"/>
      <c r="AC40" s="214"/>
      <c r="AD40" s="214"/>
      <c r="AE40" s="214"/>
      <c r="AF40" s="214"/>
      <c r="AG40" s="215"/>
    </row>
    <row r="41" spans="2:33" s="204" customFormat="1">
      <c r="C41" s="216"/>
      <c r="D41" s="216"/>
      <c r="E41" s="216"/>
      <c r="F41" s="216"/>
      <c r="G41" s="216"/>
      <c r="H41" s="216"/>
      <c r="I41" s="216"/>
      <c r="J41" s="216"/>
      <c r="K41" s="216"/>
      <c r="L41" s="216"/>
      <c r="M41" s="216"/>
      <c r="N41" s="216"/>
      <c r="O41" s="216"/>
      <c r="P41" s="216"/>
      <c r="Q41" s="216"/>
      <c r="R41" s="216"/>
      <c r="S41" s="216"/>
      <c r="T41" s="216"/>
      <c r="U41" s="216"/>
      <c r="V41" s="216"/>
      <c r="W41" s="216"/>
      <c r="X41" s="216"/>
      <c r="Y41" s="216"/>
      <c r="Z41" s="216"/>
      <c r="AA41" s="216"/>
      <c r="AB41" s="216"/>
      <c r="AC41" s="216"/>
      <c r="AD41" s="216"/>
      <c r="AE41" s="216"/>
      <c r="AF41" s="216"/>
      <c r="AG41" s="215"/>
    </row>
    <row r="42" spans="2:33">
      <c r="C42" s="169"/>
      <c r="D42" s="169"/>
      <c r="E42" s="169"/>
      <c r="F42" s="169"/>
      <c r="G42" s="169"/>
      <c r="H42" s="169"/>
      <c r="I42" s="169"/>
      <c r="J42" s="169"/>
      <c r="K42" s="169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69"/>
      <c r="AA42" s="169"/>
      <c r="AB42" s="169"/>
      <c r="AC42" s="169"/>
      <c r="AD42" s="169"/>
      <c r="AE42" s="169"/>
      <c r="AF42" s="169"/>
      <c r="AG42" s="169"/>
    </row>
    <row r="43" spans="2:33">
      <c r="AG43" s="215"/>
    </row>
    <row r="44" spans="2:33">
      <c r="B44" s="217"/>
      <c r="C44" s="214"/>
      <c r="D44" s="214"/>
      <c r="E44" s="214"/>
      <c r="F44" s="214"/>
      <c r="G44" s="214"/>
      <c r="H44" s="214"/>
      <c r="I44" s="214"/>
      <c r="J44" s="214"/>
      <c r="K44" s="214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5"/>
    </row>
    <row r="45" spans="2:33">
      <c r="C45" s="169"/>
      <c r="D45" s="169"/>
      <c r="E45" s="169"/>
      <c r="F45" s="169"/>
      <c r="G45" s="169"/>
      <c r="H45" s="169"/>
      <c r="I45" s="169"/>
      <c r="J45" s="169"/>
      <c r="K45" s="169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69"/>
      <c r="AA45" s="169"/>
      <c r="AB45" s="169"/>
      <c r="AC45" s="169"/>
      <c r="AD45" s="169"/>
      <c r="AE45" s="169"/>
      <c r="AF45" s="169"/>
      <c r="AG45" s="169"/>
    </row>
    <row r="46" spans="2:33">
      <c r="C46" s="169"/>
      <c r="D46" s="169"/>
      <c r="E46" s="169"/>
      <c r="F46" s="169"/>
      <c r="G46" s="169"/>
      <c r="H46" s="169"/>
      <c r="I46" s="169"/>
      <c r="J46" s="169"/>
      <c r="K46" s="169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69"/>
      <c r="AA46" s="169"/>
      <c r="AB46" s="169"/>
      <c r="AC46" s="169"/>
      <c r="AD46" s="169"/>
      <c r="AE46" s="169"/>
      <c r="AF46" s="169"/>
      <c r="AG46" s="169"/>
    </row>
    <row r="47" spans="2:33" s="206" customFormat="1" ht="12">
      <c r="AG47" s="215"/>
    </row>
    <row r="48" spans="2:33" s="206" customFormat="1" ht="12"/>
    <row r="49" spans="3:33" s="206" customFormat="1" ht="12">
      <c r="C49" s="215"/>
      <c r="D49" s="215"/>
      <c r="E49" s="215"/>
      <c r="F49" s="215"/>
      <c r="G49" s="215"/>
      <c r="H49" s="215"/>
      <c r="I49" s="215"/>
      <c r="J49" s="215"/>
      <c r="K49" s="215"/>
      <c r="L49" s="215"/>
      <c r="M49" s="215"/>
      <c r="N49" s="215"/>
      <c r="O49" s="215"/>
      <c r="P49" s="215"/>
      <c r="Q49" s="215"/>
      <c r="R49" s="215"/>
      <c r="S49" s="215"/>
      <c r="T49" s="215"/>
      <c r="U49" s="215"/>
      <c r="V49" s="215"/>
      <c r="W49" s="215"/>
      <c r="X49" s="215"/>
      <c r="Y49" s="215"/>
      <c r="Z49" s="215"/>
      <c r="AA49" s="215"/>
      <c r="AB49" s="215"/>
      <c r="AC49" s="215"/>
      <c r="AD49" s="215"/>
      <c r="AE49" s="215"/>
      <c r="AF49" s="215"/>
      <c r="AG49" s="213"/>
    </row>
    <row r="50" spans="3:33" s="206" customFormat="1" ht="12">
      <c r="C50" s="218"/>
      <c r="D50" s="218"/>
      <c r="E50" s="218"/>
      <c r="F50" s="218"/>
      <c r="G50" s="218"/>
      <c r="H50" s="218"/>
      <c r="I50" s="218"/>
      <c r="J50" s="218"/>
      <c r="K50" s="218"/>
      <c r="L50" s="218"/>
      <c r="M50" s="218"/>
      <c r="N50" s="218"/>
      <c r="O50" s="218"/>
      <c r="P50" s="218"/>
      <c r="Q50" s="218"/>
      <c r="R50" s="218"/>
      <c r="S50" s="218"/>
      <c r="T50" s="218"/>
      <c r="U50" s="218"/>
      <c r="V50" s="218"/>
      <c r="W50" s="218"/>
      <c r="X50" s="218"/>
      <c r="Y50" s="218"/>
      <c r="Z50" s="218"/>
      <c r="AA50" s="218"/>
      <c r="AB50" s="218"/>
      <c r="AC50" s="218"/>
      <c r="AD50" s="218"/>
      <c r="AE50" s="218"/>
      <c r="AF50" s="218"/>
      <c r="AG50" s="213"/>
    </row>
    <row r="51" spans="3:33" s="206" customFormat="1" ht="12">
      <c r="C51" s="213"/>
      <c r="D51" s="213"/>
      <c r="E51" s="213"/>
      <c r="F51" s="213"/>
      <c r="G51" s="213"/>
      <c r="H51" s="213"/>
      <c r="I51" s="213"/>
      <c r="J51" s="213"/>
      <c r="K51" s="213"/>
      <c r="L51" s="213"/>
      <c r="M51" s="213"/>
      <c r="N51" s="213"/>
      <c r="O51" s="213"/>
      <c r="P51" s="213"/>
      <c r="Q51" s="213"/>
      <c r="R51" s="213"/>
      <c r="S51" s="213"/>
      <c r="T51" s="213"/>
      <c r="U51" s="213"/>
      <c r="V51" s="213"/>
      <c r="W51" s="213"/>
      <c r="X51" s="213"/>
      <c r="Y51" s="213"/>
      <c r="Z51" s="213"/>
      <c r="AA51" s="213"/>
      <c r="AB51" s="213"/>
      <c r="AC51" s="213"/>
      <c r="AD51" s="213"/>
      <c r="AE51" s="213"/>
      <c r="AF51" s="213"/>
      <c r="AG51" s="213"/>
    </row>
    <row r="52" spans="3:33" s="206" customFormat="1" ht="12"/>
    <row r="53" spans="3:33" s="206" customFormat="1" ht="12"/>
    <row r="54" spans="3:33" s="206" customFormat="1" ht="12"/>
  </sheetData>
  <mergeCells count="2">
    <mergeCell ref="AC1:AG1"/>
    <mergeCell ref="C23:J24"/>
  </mergeCells>
  <printOptions horizontalCentered="1"/>
  <pageMargins left="0.98425196850393704" right="0.59055118110236227" top="2.7559055118110236" bottom="0.98425196850393704" header="0.39370078740157483" footer="0.39370078740157483"/>
  <pageSetup paperSize="9" scale="61" fitToWidth="3" orientation="landscape" r:id="rId1"/>
  <headerFooter alignWithMargins="0"/>
  <colBreaks count="2" manualBreakCount="2">
    <brk id="12" max="1048575" man="1"/>
    <brk id="22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tabColor rgb="FF7030A0"/>
    <pageSetUpPr fitToPage="1"/>
  </sheetPr>
  <dimension ref="A1:O38"/>
  <sheetViews>
    <sheetView showGridLines="0" topLeftCell="A2" zoomScale="80" zoomScaleNormal="80" workbookViewId="0">
      <selection activeCell="M8" sqref="M8"/>
    </sheetView>
  </sheetViews>
  <sheetFormatPr defaultColWidth="11.5703125" defaultRowHeight="12.75"/>
  <cols>
    <col min="1" max="1" width="2.7109375" style="23" customWidth="1"/>
    <col min="2" max="2" width="7.28515625" style="47" customWidth="1"/>
    <col min="3" max="5" width="11.85546875" style="47" customWidth="1"/>
    <col min="6" max="6" width="6.5703125" style="47" customWidth="1"/>
    <col min="7" max="7" width="11.85546875" style="47" customWidth="1"/>
    <col min="8" max="8" width="6.5703125" style="47" customWidth="1"/>
    <col min="9" max="9" width="11.85546875" style="47" customWidth="1"/>
    <col min="10" max="10" width="6.5703125" style="47" customWidth="1"/>
    <col min="11" max="11" width="13.5703125" style="47" customWidth="1"/>
    <col min="12" max="12" width="2.7109375" style="47" customWidth="1"/>
    <col min="13" max="13" width="10" style="47" customWidth="1"/>
    <col min="14" max="16384" width="11.5703125" style="47"/>
  </cols>
  <sheetData>
    <row r="1" spans="1:15" s="42" customFormat="1" ht="30" customHeight="1" thickBot="1">
      <c r="A1" s="40"/>
      <c r="B1" s="359" t="s">
        <v>42</v>
      </c>
      <c r="C1" s="41"/>
      <c r="D1" s="359"/>
      <c r="E1" s="359"/>
      <c r="F1" s="359"/>
      <c r="G1" s="359"/>
      <c r="H1" s="359"/>
      <c r="I1" s="359"/>
      <c r="J1" s="41"/>
      <c r="K1" s="359"/>
    </row>
    <row r="2" spans="1:15" ht="16.149999999999999" customHeight="1" thickBot="1">
      <c r="B2" s="43"/>
      <c r="C2" s="1210" t="s">
        <v>53</v>
      </c>
      <c r="D2" s="1211"/>
      <c r="E2" s="1211"/>
      <c r="F2" s="44" t="s">
        <v>54</v>
      </c>
      <c r="G2" s="45"/>
      <c r="H2" s="45"/>
      <c r="I2" s="45"/>
      <c r="J2" s="45"/>
      <c r="K2" s="46"/>
    </row>
    <row r="3" spans="1:15" ht="20.25" customHeight="1" thickBot="1">
      <c r="B3" s="361" t="s">
        <v>1</v>
      </c>
      <c r="C3" s="48" t="s">
        <v>23</v>
      </c>
      <c r="D3" s="48" t="s">
        <v>24</v>
      </c>
      <c r="E3" s="362" t="s">
        <v>0</v>
      </c>
      <c r="F3" s="49" t="s">
        <v>25</v>
      </c>
      <c r="G3" s="50" t="s">
        <v>26</v>
      </c>
      <c r="H3" s="49" t="s">
        <v>25</v>
      </c>
      <c r="I3" s="51" t="s">
        <v>27</v>
      </c>
      <c r="J3" s="49" t="s">
        <v>25</v>
      </c>
      <c r="K3" s="52" t="s">
        <v>28</v>
      </c>
      <c r="L3" s="53"/>
      <c r="M3" s="53"/>
    </row>
    <row r="4" spans="1:15" s="63" customFormat="1" ht="20.25" hidden="1" customHeight="1" thickTop="1">
      <c r="A4" s="54">
        <v>2009</v>
      </c>
      <c r="B4" s="55">
        <v>0</v>
      </c>
      <c r="C4" s="56"/>
      <c r="D4" s="57"/>
      <c r="E4" s="58"/>
      <c r="F4" s="59"/>
      <c r="G4" s="60"/>
      <c r="H4" s="61"/>
      <c r="I4" s="60"/>
      <c r="J4" s="61"/>
      <c r="K4" s="62"/>
    </row>
    <row r="5" spans="1:15" ht="20.25" customHeight="1">
      <c r="A5" s="64"/>
      <c r="B5" s="65">
        <v>1</v>
      </c>
      <c r="C5" s="66">
        <v>5288</v>
      </c>
      <c r="D5" s="66">
        <v>12258</v>
      </c>
      <c r="E5" s="66">
        <v>17546</v>
      </c>
      <c r="F5" s="67">
        <v>1</v>
      </c>
      <c r="G5" s="68">
        <v>13398.055491990846</v>
      </c>
      <c r="H5" s="531">
        <v>0.56000000000000005</v>
      </c>
      <c r="I5" s="532">
        <f>G5*H5</f>
        <v>7502.9110755148749</v>
      </c>
      <c r="J5" s="69">
        <v>0</v>
      </c>
      <c r="K5" s="70"/>
      <c r="L5" s="71"/>
      <c r="M5" s="72"/>
    </row>
    <row r="6" spans="1:15" ht="20.25" customHeight="1">
      <c r="A6" s="64"/>
      <c r="B6" s="65">
        <v>2</v>
      </c>
      <c r="C6" s="66">
        <v>5297</v>
      </c>
      <c r="D6" s="66">
        <v>12280</v>
      </c>
      <c r="E6" s="66">
        <v>17577</v>
      </c>
      <c r="F6" s="67">
        <v>1</v>
      </c>
      <c r="G6" s="68">
        <v>13421.610983981693</v>
      </c>
      <c r="H6" s="531">
        <v>0.56000000000000005</v>
      </c>
      <c r="I6" s="532">
        <f>G6*H6</f>
        <v>7516.1021510297487</v>
      </c>
      <c r="J6" s="69">
        <v>0</v>
      </c>
      <c r="K6" s="70"/>
      <c r="L6" s="71"/>
      <c r="M6" s="72"/>
    </row>
    <row r="7" spans="1:15" ht="20.25" customHeight="1">
      <c r="A7" s="64"/>
      <c r="B7" s="65">
        <v>3</v>
      </c>
      <c r="C7" s="66">
        <v>5306</v>
      </c>
      <c r="D7" s="66">
        <v>12302</v>
      </c>
      <c r="E7" s="66">
        <v>17608</v>
      </c>
      <c r="F7" s="67">
        <v>1</v>
      </c>
      <c r="G7" s="68">
        <v>13445.166475972539</v>
      </c>
      <c r="H7" s="531">
        <v>0.56000000000000005</v>
      </c>
      <c r="I7" s="532">
        <f t="shared" ref="I7:I33" si="0">G7*H7</f>
        <v>7529.2932265446225</v>
      </c>
      <c r="J7" s="69">
        <v>0</v>
      </c>
      <c r="K7" s="70"/>
      <c r="L7" s="71"/>
      <c r="M7" s="71"/>
    </row>
    <row r="8" spans="1:15" s="72" customFormat="1" ht="20.25" customHeight="1">
      <c r="A8" s="64"/>
      <c r="B8" s="65">
        <v>4</v>
      </c>
      <c r="C8" s="66">
        <v>5317</v>
      </c>
      <c r="D8" s="66">
        <v>12322</v>
      </c>
      <c r="E8" s="66">
        <v>17639</v>
      </c>
      <c r="F8" s="67">
        <v>1</v>
      </c>
      <c r="G8" s="68">
        <v>13469.398741418765</v>
      </c>
      <c r="H8" s="884">
        <v>0.56000000000000005</v>
      </c>
      <c r="I8" s="885">
        <f t="shared" si="0"/>
        <v>7542.8632951945092</v>
      </c>
      <c r="J8" s="69">
        <v>0</v>
      </c>
      <c r="K8" s="70"/>
    </row>
    <row r="9" spans="1:15" ht="20.25" customHeight="1">
      <c r="A9" s="64"/>
      <c r="B9" s="65">
        <v>5</v>
      </c>
      <c r="C9" s="66">
        <v>5326</v>
      </c>
      <c r="D9" s="66">
        <v>12342</v>
      </c>
      <c r="E9" s="66">
        <v>17668</v>
      </c>
      <c r="F9" s="67">
        <v>1</v>
      </c>
      <c r="G9" s="68">
        <v>13491.631006864987</v>
      </c>
      <c r="H9" s="884">
        <v>0.56000000000000005</v>
      </c>
      <c r="I9" s="885">
        <f t="shared" si="0"/>
        <v>7555.3133638443933</v>
      </c>
      <c r="J9" s="884">
        <v>0.4</v>
      </c>
      <c r="K9" s="886">
        <f>J9*I9</f>
        <v>3022.1253455377573</v>
      </c>
      <c r="L9" s="71"/>
      <c r="M9" s="72"/>
      <c r="N9" s="72"/>
      <c r="O9" s="72"/>
    </row>
    <row r="10" spans="1:15" ht="20.25" customHeight="1">
      <c r="A10" s="64"/>
      <c r="B10" s="65">
        <v>6</v>
      </c>
      <c r="C10" s="66">
        <v>5335</v>
      </c>
      <c r="D10" s="66">
        <v>12363</v>
      </c>
      <c r="E10" s="66">
        <v>17698</v>
      </c>
      <c r="F10" s="67">
        <v>1</v>
      </c>
      <c r="G10" s="68">
        <v>13514.524885583523</v>
      </c>
      <c r="H10" s="884">
        <v>0.57999999999999996</v>
      </c>
      <c r="I10" s="885">
        <f t="shared" si="0"/>
        <v>7838.4244336384427</v>
      </c>
      <c r="J10" s="884">
        <v>0.57999999999999996</v>
      </c>
      <c r="K10" s="886">
        <f t="shared" ref="K10:K33" si="1">J10*I10</f>
        <v>4546.2861715102963</v>
      </c>
      <c r="M10" s="72"/>
      <c r="N10" s="72"/>
      <c r="O10" s="72"/>
    </row>
    <row r="11" spans="1:15" ht="20.25" customHeight="1">
      <c r="A11" s="64"/>
      <c r="B11" s="65">
        <v>7</v>
      </c>
      <c r="C11" s="66">
        <v>5343</v>
      </c>
      <c r="D11" s="66">
        <v>12382</v>
      </c>
      <c r="E11" s="66">
        <v>17725</v>
      </c>
      <c r="F11" s="67">
        <v>1</v>
      </c>
      <c r="G11" s="68">
        <v>13535.095537757437</v>
      </c>
      <c r="H11" s="884">
        <v>0.68</v>
      </c>
      <c r="I11" s="885">
        <f t="shared" si="0"/>
        <v>9203.8649656750586</v>
      </c>
      <c r="J11" s="884">
        <v>0.68</v>
      </c>
      <c r="K11" s="886">
        <f t="shared" si="1"/>
        <v>6258.62817665904</v>
      </c>
      <c r="M11" s="72"/>
      <c r="N11" s="72"/>
      <c r="O11" s="72"/>
    </row>
    <row r="12" spans="1:15" s="72" customFormat="1" ht="20.25" customHeight="1">
      <c r="A12" s="64"/>
      <c r="B12" s="65">
        <v>8</v>
      </c>
      <c r="C12" s="66">
        <v>5351</v>
      </c>
      <c r="D12" s="66">
        <v>12401</v>
      </c>
      <c r="E12" s="66">
        <v>17752</v>
      </c>
      <c r="F12" s="67">
        <v>1</v>
      </c>
      <c r="G12" s="68">
        <v>13555.666189931349</v>
      </c>
      <c r="H12" s="884">
        <v>0.72</v>
      </c>
      <c r="I12" s="885">
        <f t="shared" si="0"/>
        <v>9760.0796567505713</v>
      </c>
      <c r="J12" s="884">
        <v>0.72</v>
      </c>
      <c r="K12" s="886">
        <f t="shared" si="1"/>
        <v>7027.2573528604107</v>
      </c>
    </row>
    <row r="13" spans="1:15" s="72" customFormat="1" ht="20.25" customHeight="1">
      <c r="A13" s="64"/>
      <c r="B13" s="65">
        <v>9</v>
      </c>
      <c r="C13" s="66">
        <v>5359</v>
      </c>
      <c r="D13" s="66">
        <v>12420</v>
      </c>
      <c r="E13" s="66">
        <v>17779</v>
      </c>
      <c r="F13" s="67">
        <v>1</v>
      </c>
      <c r="G13" s="68">
        <v>13576.236842105263</v>
      </c>
      <c r="H13" s="884">
        <v>0.75</v>
      </c>
      <c r="I13" s="885">
        <f t="shared" si="0"/>
        <v>10182.177631578947</v>
      </c>
      <c r="J13" s="884">
        <v>0.75</v>
      </c>
      <c r="K13" s="886">
        <f t="shared" si="1"/>
        <v>7636.63322368421</v>
      </c>
    </row>
    <row r="14" spans="1:15" ht="20.25" customHeight="1">
      <c r="A14" s="64"/>
      <c r="B14" s="65">
        <v>10</v>
      </c>
      <c r="C14" s="66">
        <v>5368</v>
      </c>
      <c r="D14" s="66">
        <v>12439</v>
      </c>
      <c r="E14" s="66">
        <v>17807</v>
      </c>
      <c r="F14" s="67">
        <v>1</v>
      </c>
      <c r="G14" s="68">
        <v>13597.807494279175</v>
      </c>
      <c r="H14" s="884">
        <v>0.79</v>
      </c>
      <c r="I14" s="885">
        <f t="shared" si="0"/>
        <v>10742.26792048055</v>
      </c>
      <c r="J14" s="884">
        <v>0.79</v>
      </c>
      <c r="K14" s="886">
        <f t="shared" si="1"/>
        <v>8486.3916571796344</v>
      </c>
      <c r="M14" s="72"/>
      <c r="N14" s="72"/>
      <c r="O14" s="72"/>
    </row>
    <row r="15" spans="1:15" ht="20.25" customHeight="1">
      <c r="A15" s="64"/>
      <c r="B15" s="65">
        <v>11</v>
      </c>
      <c r="C15" s="66">
        <v>5376</v>
      </c>
      <c r="D15" s="66">
        <v>12459</v>
      </c>
      <c r="E15" s="66">
        <v>17835</v>
      </c>
      <c r="F15" s="67">
        <v>1</v>
      </c>
      <c r="G15" s="68">
        <v>13619.0397597254</v>
      </c>
      <c r="H15" s="884">
        <v>0.87</v>
      </c>
      <c r="I15" s="885">
        <f t="shared" si="0"/>
        <v>11848.564590961098</v>
      </c>
      <c r="J15" s="884">
        <v>0.87</v>
      </c>
      <c r="K15" s="886">
        <f t="shared" si="1"/>
        <v>10308.251194136155</v>
      </c>
      <c r="M15" s="72"/>
      <c r="N15" s="72"/>
      <c r="O15" s="72"/>
    </row>
    <row r="16" spans="1:15" ht="20.25" customHeight="1">
      <c r="A16" s="64"/>
      <c r="B16" s="65">
        <v>12</v>
      </c>
      <c r="C16" s="66">
        <v>5383</v>
      </c>
      <c r="D16" s="66">
        <v>12478</v>
      </c>
      <c r="E16" s="66">
        <v>17861</v>
      </c>
      <c r="F16" s="67">
        <v>1</v>
      </c>
      <c r="G16" s="68">
        <v>13638.610411899313</v>
      </c>
      <c r="H16" s="69">
        <v>1</v>
      </c>
      <c r="I16" s="68">
        <f t="shared" si="0"/>
        <v>13638.610411899313</v>
      </c>
      <c r="J16" s="69">
        <v>1</v>
      </c>
      <c r="K16" s="70">
        <f t="shared" si="1"/>
        <v>13638.610411899313</v>
      </c>
      <c r="M16" s="72"/>
      <c r="N16" s="72"/>
      <c r="O16" s="72"/>
    </row>
    <row r="17" spans="1:15" ht="20.25" customHeight="1">
      <c r="A17" s="64"/>
      <c r="B17" s="65">
        <v>13</v>
      </c>
      <c r="C17" s="66">
        <v>5390</v>
      </c>
      <c r="D17" s="66">
        <v>12497</v>
      </c>
      <c r="E17" s="66">
        <v>17887</v>
      </c>
      <c r="F17" s="67">
        <v>1</v>
      </c>
      <c r="G17" s="68">
        <v>13658.181064073226</v>
      </c>
      <c r="H17" s="69">
        <v>1</v>
      </c>
      <c r="I17" s="68">
        <f t="shared" si="0"/>
        <v>13658.181064073226</v>
      </c>
      <c r="J17" s="69">
        <v>1</v>
      </c>
      <c r="K17" s="70">
        <f t="shared" si="1"/>
        <v>13658.181064073226</v>
      </c>
      <c r="M17" s="72"/>
      <c r="N17" s="72"/>
      <c r="O17" s="72"/>
    </row>
    <row r="18" spans="1:15" ht="20.25" customHeight="1">
      <c r="A18" s="64"/>
      <c r="B18" s="65">
        <v>14</v>
      </c>
      <c r="C18" s="66">
        <v>5397</v>
      </c>
      <c r="D18" s="66">
        <v>12516</v>
      </c>
      <c r="E18" s="66">
        <v>17913</v>
      </c>
      <c r="F18" s="67">
        <v>1</v>
      </c>
      <c r="G18" s="68">
        <v>13677.751716247139</v>
      </c>
      <c r="H18" s="69">
        <v>1</v>
      </c>
      <c r="I18" s="68">
        <f t="shared" si="0"/>
        <v>13677.751716247139</v>
      </c>
      <c r="J18" s="69">
        <v>1</v>
      </c>
      <c r="K18" s="70">
        <f t="shared" si="1"/>
        <v>13677.751716247139</v>
      </c>
      <c r="M18" s="72"/>
      <c r="N18" s="72"/>
      <c r="O18" s="72"/>
    </row>
    <row r="19" spans="1:15" ht="20.25" customHeight="1">
      <c r="A19" s="64"/>
      <c r="B19" s="65">
        <v>15</v>
      </c>
      <c r="C19" s="66">
        <v>5404</v>
      </c>
      <c r="D19" s="66">
        <v>12535</v>
      </c>
      <c r="E19" s="66">
        <v>17939</v>
      </c>
      <c r="F19" s="67">
        <v>1</v>
      </c>
      <c r="G19" s="68">
        <v>13697.322368421053</v>
      </c>
      <c r="H19" s="69">
        <v>1</v>
      </c>
      <c r="I19" s="68">
        <f t="shared" si="0"/>
        <v>13697.322368421053</v>
      </c>
      <c r="J19" s="69">
        <v>1</v>
      </c>
      <c r="K19" s="70">
        <f t="shared" si="1"/>
        <v>13697.322368421053</v>
      </c>
      <c r="M19" s="72"/>
      <c r="N19" s="72"/>
      <c r="O19" s="72"/>
    </row>
    <row r="20" spans="1:15" ht="20.25" customHeight="1">
      <c r="A20" s="64"/>
      <c r="B20" s="65">
        <v>16</v>
      </c>
      <c r="C20" s="66">
        <v>5413</v>
      </c>
      <c r="D20" s="66">
        <v>12545</v>
      </c>
      <c r="E20" s="66">
        <v>17958</v>
      </c>
      <c r="F20" s="67">
        <v>1</v>
      </c>
      <c r="G20" s="68">
        <v>13712.938501144165</v>
      </c>
      <c r="H20" s="69">
        <v>1</v>
      </c>
      <c r="I20" s="68">
        <f t="shared" si="0"/>
        <v>13712.938501144165</v>
      </c>
      <c r="J20" s="69">
        <v>1</v>
      </c>
      <c r="K20" s="70">
        <f t="shared" si="1"/>
        <v>13712.938501144165</v>
      </c>
      <c r="M20" s="72"/>
      <c r="N20" s="72"/>
      <c r="O20" s="72"/>
    </row>
    <row r="21" spans="1:15" ht="20.25" customHeight="1">
      <c r="A21" s="64"/>
      <c r="B21" s="65">
        <v>17</v>
      </c>
      <c r="C21" s="66">
        <v>5419</v>
      </c>
      <c r="D21" s="66">
        <v>12560</v>
      </c>
      <c r="E21" s="66">
        <v>17979</v>
      </c>
      <c r="F21" s="67">
        <v>1</v>
      </c>
      <c r="G21" s="68">
        <v>13728.862700228832</v>
      </c>
      <c r="H21" s="69">
        <v>1</v>
      </c>
      <c r="I21" s="68">
        <f t="shared" si="0"/>
        <v>13728.862700228832</v>
      </c>
      <c r="J21" s="69">
        <v>1</v>
      </c>
      <c r="K21" s="70">
        <f t="shared" si="1"/>
        <v>13728.862700228832</v>
      </c>
      <c r="M21" s="72"/>
      <c r="N21" s="72"/>
      <c r="O21" s="72"/>
    </row>
    <row r="22" spans="1:15" ht="20.25" customHeight="1">
      <c r="A22" s="64"/>
      <c r="B22" s="65">
        <v>18</v>
      </c>
      <c r="C22" s="66">
        <v>5425</v>
      </c>
      <c r="D22" s="66">
        <v>12575</v>
      </c>
      <c r="E22" s="66">
        <v>18000</v>
      </c>
      <c r="F22" s="67">
        <v>1</v>
      </c>
      <c r="G22" s="68">
        <v>13744.786899313502</v>
      </c>
      <c r="H22" s="69">
        <v>1</v>
      </c>
      <c r="I22" s="68">
        <f t="shared" si="0"/>
        <v>13744.786899313502</v>
      </c>
      <c r="J22" s="69">
        <v>1</v>
      </c>
      <c r="K22" s="70">
        <f t="shared" si="1"/>
        <v>13744.786899313502</v>
      </c>
      <c r="M22" s="72"/>
      <c r="N22" s="72"/>
      <c r="O22" s="72"/>
    </row>
    <row r="23" spans="1:15" ht="20.25" customHeight="1">
      <c r="A23" s="64"/>
      <c r="B23" s="65">
        <v>19</v>
      </c>
      <c r="C23" s="66">
        <v>5431</v>
      </c>
      <c r="D23" s="66">
        <v>12590</v>
      </c>
      <c r="E23" s="66">
        <v>18021</v>
      </c>
      <c r="F23" s="67">
        <v>1</v>
      </c>
      <c r="G23" s="68">
        <v>13760.711098398169</v>
      </c>
      <c r="H23" s="69">
        <v>1</v>
      </c>
      <c r="I23" s="68">
        <f t="shared" si="0"/>
        <v>13760.711098398169</v>
      </c>
      <c r="J23" s="69">
        <v>1</v>
      </c>
      <c r="K23" s="70">
        <f t="shared" si="1"/>
        <v>13760.711098398169</v>
      </c>
      <c r="M23" s="72"/>
      <c r="N23" s="72"/>
      <c r="O23" s="72"/>
    </row>
    <row r="24" spans="1:15" ht="20.25" customHeight="1">
      <c r="A24" s="64"/>
      <c r="B24" s="65">
        <v>20</v>
      </c>
      <c r="C24" s="66">
        <v>5437</v>
      </c>
      <c r="D24" s="66">
        <v>12605</v>
      </c>
      <c r="E24" s="66">
        <v>18042</v>
      </c>
      <c r="F24" s="67">
        <v>1</v>
      </c>
      <c r="G24" s="68">
        <v>13776.635297482837</v>
      </c>
      <c r="H24" s="69">
        <v>1</v>
      </c>
      <c r="I24" s="68">
        <f t="shared" si="0"/>
        <v>13776.635297482837</v>
      </c>
      <c r="J24" s="69">
        <v>1</v>
      </c>
      <c r="K24" s="70">
        <f t="shared" si="1"/>
        <v>13776.635297482837</v>
      </c>
      <c r="M24" s="72"/>
      <c r="N24" s="72"/>
      <c r="O24" s="72"/>
    </row>
    <row r="25" spans="1:15" ht="20.25" customHeight="1">
      <c r="A25" s="64"/>
      <c r="B25" s="65">
        <v>21</v>
      </c>
      <c r="C25" s="66">
        <v>5446</v>
      </c>
      <c r="D25" s="66">
        <v>12621</v>
      </c>
      <c r="E25" s="66">
        <v>18067</v>
      </c>
      <c r="F25" s="67">
        <v>1</v>
      </c>
      <c r="G25" s="68">
        <v>13796.221109839817</v>
      </c>
      <c r="H25" s="69">
        <v>1</v>
      </c>
      <c r="I25" s="68">
        <f t="shared" si="0"/>
        <v>13796.221109839817</v>
      </c>
      <c r="J25" s="69">
        <v>1</v>
      </c>
      <c r="K25" s="70">
        <f t="shared" si="1"/>
        <v>13796.221109839817</v>
      </c>
      <c r="M25" s="72"/>
      <c r="N25" s="72"/>
      <c r="O25" s="72"/>
    </row>
    <row r="26" spans="1:15" ht="20.25" customHeight="1">
      <c r="A26" s="64"/>
      <c r="B26" s="65">
        <v>22</v>
      </c>
      <c r="C26" s="66">
        <v>5451</v>
      </c>
      <c r="D26" s="66">
        <v>12634</v>
      </c>
      <c r="E26" s="66">
        <v>18085</v>
      </c>
      <c r="F26" s="67">
        <v>1</v>
      </c>
      <c r="G26" s="68">
        <v>13809.822082379862</v>
      </c>
      <c r="H26" s="69">
        <v>1</v>
      </c>
      <c r="I26" s="68">
        <f t="shared" si="0"/>
        <v>13809.822082379862</v>
      </c>
      <c r="J26" s="69">
        <v>1</v>
      </c>
      <c r="K26" s="70">
        <f t="shared" si="1"/>
        <v>13809.822082379862</v>
      </c>
      <c r="M26" s="72"/>
      <c r="N26" s="72"/>
      <c r="O26" s="72"/>
    </row>
    <row r="27" spans="1:15" s="72" customFormat="1" ht="20.25" customHeight="1">
      <c r="A27" s="64"/>
      <c r="B27" s="65">
        <v>23</v>
      </c>
      <c r="C27" s="66">
        <v>5456</v>
      </c>
      <c r="D27" s="66">
        <v>12647</v>
      </c>
      <c r="E27" s="66">
        <v>18103</v>
      </c>
      <c r="F27" s="67">
        <v>1</v>
      </c>
      <c r="G27" s="68">
        <v>13823.423054919909</v>
      </c>
      <c r="H27" s="69">
        <v>1</v>
      </c>
      <c r="I27" s="68">
        <f t="shared" si="0"/>
        <v>13823.423054919909</v>
      </c>
      <c r="J27" s="69">
        <v>1</v>
      </c>
      <c r="K27" s="70">
        <f t="shared" si="1"/>
        <v>13823.423054919909</v>
      </c>
    </row>
    <row r="28" spans="1:15" s="72" customFormat="1" ht="20.25" customHeight="1">
      <c r="A28" s="64"/>
      <c r="B28" s="65">
        <v>24</v>
      </c>
      <c r="C28" s="66">
        <v>5461</v>
      </c>
      <c r="D28" s="66">
        <v>12660</v>
      </c>
      <c r="E28" s="66">
        <v>18121</v>
      </c>
      <c r="F28" s="67">
        <v>1</v>
      </c>
      <c r="G28" s="68">
        <v>13837.024027459955</v>
      </c>
      <c r="H28" s="69">
        <v>1</v>
      </c>
      <c r="I28" s="68">
        <f t="shared" si="0"/>
        <v>13837.024027459955</v>
      </c>
      <c r="J28" s="69">
        <v>1</v>
      </c>
      <c r="K28" s="70">
        <f t="shared" si="1"/>
        <v>13837.024027459955</v>
      </c>
    </row>
    <row r="29" spans="1:15" ht="20.25" customHeight="1">
      <c r="A29" s="64"/>
      <c r="B29" s="65">
        <v>25</v>
      </c>
      <c r="C29" s="66">
        <v>5466</v>
      </c>
      <c r="D29" s="66">
        <v>12673</v>
      </c>
      <c r="E29" s="66">
        <v>18139</v>
      </c>
      <c r="F29" s="67">
        <v>1</v>
      </c>
      <c r="G29" s="68">
        <v>13850.625</v>
      </c>
      <c r="H29" s="69">
        <v>1</v>
      </c>
      <c r="I29" s="68">
        <f t="shared" si="0"/>
        <v>13850.625</v>
      </c>
      <c r="J29" s="69">
        <v>1</v>
      </c>
      <c r="K29" s="70">
        <f t="shared" si="1"/>
        <v>13850.625</v>
      </c>
      <c r="M29" s="72"/>
      <c r="N29" s="72"/>
      <c r="O29" s="72"/>
    </row>
    <row r="30" spans="1:15" s="72" customFormat="1" ht="20.25" customHeight="1">
      <c r="A30" s="64"/>
      <c r="B30" s="65">
        <v>26</v>
      </c>
      <c r="C30" s="66">
        <v>5475</v>
      </c>
      <c r="D30" s="66">
        <v>12689</v>
      </c>
      <c r="E30" s="66">
        <v>18164</v>
      </c>
      <c r="F30" s="67">
        <v>1</v>
      </c>
      <c r="G30" s="68">
        <v>13870.21081235698</v>
      </c>
      <c r="H30" s="69">
        <v>1</v>
      </c>
      <c r="I30" s="68">
        <f t="shared" si="0"/>
        <v>13870.21081235698</v>
      </c>
      <c r="J30" s="69">
        <v>1</v>
      </c>
      <c r="K30" s="70">
        <f t="shared" si="1"/>
        <v>13870.21081235698</v>
      </c>
    </row>
    <row r="31" spans="1:15" s="72" customFormat="1" ht="20.25" customHeight="1">
      <c r="A31" s="64"/>
      <c r="B31" s="65">
        <v>27</v>
      </c>
      <c r="C31" s="66">
        <v>5480</v>
      </c>
      <c r="D31" s="66">
        <v>12703</v>
      </c>
      <c r="E31" s="66">
        <v>18183</v>
      </c>
      <c r="F31" s="67">
        <v>1</v>
      </c>
      <c r="G31" s="68">
        <v>13884.473398169337</v>
      </c>
      <c r="H31" s="69">
        <v>1</v>
      </c>
      <c r="I31" s="68">
        <f t="shared" si="0"/>
        <v>13884.473398169337</v>
      </c>
      <c r="J31" s="69">
        <v>1</v>
      </c>
      <c r="K31" s="70">
        <f t="shared" si="1"/>
        <v>13884.473398169337</v>
      </c>
    </row>
    <row r="32" spans="1:15" s="72" customFormat="1" ht="20.25" customHeight="1">
      <c r="A32" s="64"/>
      <c r="B32" s="65">
        <v>28</v>
      </c>
      <c r="C32" s="66">
        <v>5486</v>
      </c>
      <c r="D32" s="66">
        <v>12716</v>
      </c>
      <c r="E32" s="66">
        <v>18202</v>
      </c>
      <c r="F32" s="67">
        <v>1</v>
      </c>
      <c r="G32" s="68">
        <v>13899.074370709382</v>
      </c>
      <c r="H32" s="69">
        <v>1</v>
      </c>
      <c r="I32" s="68">
        <f t="shared" si="0"/>
        <v>13899.074370709382</v>
      </c>
      <c r="J32" s="69">
        <v>1</v>
      </c>
      <c r="K32" s="70">
        <f t="shared" si="1"/>
        <v>13899.074370709382</v>
      </c>
    </row>
    <row r="33" spans="1:15" s="72" customFormat="1" ht="20.25" customHeight="1">
      <c r="A33" s="64"/>
      <c r="B33" s="65">
        <v>29</v>
      </c>
      <c r="C33" s="66">
        <v>5492</v>
      </c>
      <c r="D33" s="66">
        <v>12730</v>
      </c>
      <c r="E33" s="66">
        <v>18222</v>
      </c>
      <c r="F33" s="67">
        <v>1</v>
      </c>
      <c r="G33" s="68">
        <v>13914.33695652174</v>
      </c>
      <c r="H33" s="69">
        <v>1</v>
      </c>
      <c r="I33" s="68">
        <f t="shared" si="0"/>
        <v>13914.33695652174</v>
      </c>
      <c r="J33" s="69">
        <v>1</v>
      </c>
      <c r="K33" s="70">
        <f t="shared" si="1"/>
        <v>13914.33695652174</v>
      </c>
    </row>
    <row r="34" spans="1:15" ht="21" customHeight="1" thickBot="1">
      <c r="A34" s="64"/>
      <c r="B34" s="73">
        <v>30</v>
      </c>
      <c r="C34" s="74">
        <v>5495</v>
      </c>
      <c r="D34" s="74">
        <v>12738</v>
      </c>
      <c r="E34" s="74">
        <v>18233</v>
      </c>
      <c r="F34" s="75">
        <v>1</v>
      </c>
      <c r="G34" s="76">
        <v>13922.629862700229</v>
      </c>
      <c r="H34" s="77">
        <v>1</v>
      </c>
      <c r="I34" s="76">
        <f>H34*G34</f>
        <v>13922.629862700229</v>
      </c>
      <c r="J34" s="77">
        <v>1</v>
      </c>
      <c r="K34" s="78">
        <f>J34*I34</f>
        <v>13922.629862700229</v>
      </c>
      <c r="M34" s="72"/>
      <c r="N34" s="72"/>
      <c r="O34" s="72"/>
    </row>
    <row r="35" spans="1:15">
      <c r="D35" s="79"/>
    </row>
    <row r="37" spans="1:15">
      <c r="D37" s="80"/>
    </row>
    <row r="38" spans="1:15">
      <c r="D38" s="80"/>
    </row>
  </sheetData>
  <mergeCells count="1">
    <mergeCell ref="C2:E2"/>
  </mergeCells>
  <phoneticPr fontId="12" type="noConversion"/>
  <printOptions horizontalCentered="1"/>
  <pageMargins left="0.98425196850393704" right="0.59055118110236227" top="1.9685039370078741" bottom="1.0629921259842521" header="0.39370078740157483" footer="0.39370078740157483"/>
  <pageSetup paperSize="9" scale="82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>
    <tabColor rgb="FF7030A0"/>
  </sheetPr>
  <dimension ref="A1:J37"/>
  <sheetViews>
    <sheetView showGridLines="0" workbookViewId="0">
      <selection activeCell="B20" sqref="B20"/>
    </sheetView>
  </sheetViews>
  <sheetFormatPr defaultColWidth="11.5703125" defaultRowHeight="12.75"/>
  <cols>
    <col min="1" max="1" width="2.7109375" style="47" customWidth="1"/>
    <col min="2" max="2" width="9.28515625" style="47" customWidth="1"/>
    <col min="3" max="6" width="17.28515625" style="47" customWidth="1"/>
    <col min="7" max="7" width="2.7109375" style="47" customWidth="1"/>
    <col min="8" max="16384" width="11.5703125" style="47"/>
  </cols>
  <sheetData>
    <row r="1" spans="1:10" s="42" customFormat="1" ht="30" customHeight="1" thickBot="1">
      <c r="B1" s="1208" t="s">
        <v>43</v>
      </c>
      <c r="C1" s="1208"/>
      <c r="D1" s="1208"/>
      <c r="E1" s="1208"/>
      <c r="F1" s="1208"/>
      <c r="G1" s="359"/>
    </row>
    <row r="2" spans="1:10" ht="21.75" customHeight="1">
      <c r="B2" s="1212" t="s">
        <v>1</v>
      </c>
      <c r="C2" s="1214" t="s">
        <v>10</v>
      </c>
      <c r="D2" s="1218" t="s">
        <v>29</v>
      </c>
      <c r="E2" s="1216" t="s">
        <v>11</v>
      </c>
      <c r="F2" s="1216" t="s">
        <v>30</v>
      </c>
      <c r="G2" s="588"/>
    </row>
    <row r="3" spans="1:10" s="72" customFormat="1" ht="66.75" customHeight="1" thickBot="1">
      <c r="B3" s="1213"/>
      <c r="C3" s="1215"/>
      <c r="D3" s="1219"/>
      <c r="E3" s="1217"/>
      <c r="F3" s="1217"/>
      <c r="G3" s="588"/>
      <c r="H3" s="64"/>
    </row>
    <row r="4" spans="1:10" ht="20.25" customHeight="1">
      <c r="A4" s="64"/>
      <c r="B4" s="81">
        <v>1</v>
      </c>
      <c r="C4" s="82">
        <f>'1 R1 Pop'!G5/C37</f>
        <v>4097.2646764498004</v>
      </c>
      <c r="D4" s="83">
        <f>C4</f>
        <v>4097.2646764498004</v>
      </c>
      <c r="E4" s="533">
        <f t="shared" ref="E4:E14" si="0">C4*H4</f>
        <v>2294.4682188118886</v>
      </c>
      <c r="F4" s="534">
        <f>E4</f>
        <v>2294.4682188118886</v>
      </c>
      <c r="G4" s="589"/>
      <c r="H4" s="69">
        <v>0.56000000000000005</v>
      </c>
      <c r="I4" s="47">
        <v>4</v>
      </c>
      <c r="J4" s="85"/>
    </row>
    <row r="5" spans="1:10" ht="20.25" customHeight="1">
      <c r="A5" s="64"/>
      <c r="B5" s="65">
        <v>2</v>
      </c>
      <c r="C5" s="82">
        <f>'1 R1 Pop'!G6/3.27</f>
        <v>4104.4681908200891</v>
      </c>
      <c r="D5" s="68">
        <f>C5</f>
        <v>4104.4681908200891</v>
      </c>
      <c r="E5" s="535">
        <f t="shared" si="0"/>
        <v>2298.5021868592503</v>
      </c>
      <c r="F5" s="536">
        <f>E5</f>
        <v>2298.5021868592503</v>
      </c>
      <c r="G5" s="589"/>
      <c r="H5" s="69">
        <v>0.56000000000000005</v>
      </c>
      <c r="I5" s="85">
        <f>E5-E4</f>
        <v>4.0339680473616681</v>
      </c>
      <c r="J5" s="85"/>
    </row>
    <row r="6" spans="1:10" ht="20.25" customHeight="1">
      <c r="A6" s="64"/>
      <c r="B6" s="65">
        <v>3</v>
      </c>
      <c r="C6" s="82">
        <f>'1 R1 Pop'!G7/$C$37</f>
        <v>4111.6717051903788</v>
      </c>
      <c r="D6" s="68">
        <f t="shared" ref="D6:D33" si="1">C6</f>
        <v>4111.6717051903788</v>
      </c>
      <c r="E6" s="535">
        <f t="shared" si="0"/>
        <v>2302.5361549066124</v>
      </c>
      <c r="F6" s="536">
        <f t="shared" ref="F6:F33" si="2">E6</f>
        <v>2302.5361549066124</v>
      </c>
      <c r="G6" s="589"/>
      <c r="H6" s="69">
        <v>0.56000000000000005</v>
      </c>
      <c r="I6" s="85">
        <f t="shared" ref="I6:I33" si="3">E6-E5</f>
        <v>4.0339680473621229</v>
      </c>
      <c r="J6" s="85"/>
    </row>
    <row r="7" spans="1:10" ht="20.25" customHeight="1">
      <c r="A7" s="64"/>
      <c r="B7" s="65">
        <v>4</v>
      </c>
      <c r="C7" s="82">
        <f>'1 R1 Pop'!G8/$C$37</f>
        <v>4119.0821839201117</v>
      </c>
      <c r="D7" s="68">
        <f t="shared" si="1"/>
        <v>4119.0821839201117</v>
      </c>
      <c r="E7" s="887">
        <f t="shared" si="0"/>
        <v>2306.6860229952626</v>
      </c>
      <c r="F7" s="888">
        <f t="shared" si="2"/>
        <v>2306.6860229952626</v>
      </c>
      <c r="G7" s="589"/>
      <c r="H7" s="69">
        <v>0.56000000000000005</v>
      </c>
      <c r="I7" s="85">
        <f t="shared" si="3"/>
        <v>4.149868088650237</v>
      </c>
      <c r="J7" s="85"/>
    </row>
    <row r="8" spans="1:10" ht="20.25" customHeight="1">
      <c r="A8" s="64"/>
      <c r="B8" s="65">
        <v>5</v>
      </c>
      <c r="C8" s="82">
        <f>'1 R1 Pop'!G9/$C$37</f>
        <v>4125.8810418547364</v>
      </c>
      <c r="D8" s="68">
        <f t="shared" si="1"/>
        <v>4125.8810418547364</v>
      </c>
      <c r="E8" s="887">
        <f t="shared" si="0"/>
        <v>2310.4933834386525</v>
      </c>
      <c r="F8" s="888">
        <f t="shared" si="2"/>
        <v>2310.4933834386525</v>
      </c>
      <c r="G8" s="589"/>
      <c r="H8" s="69">
        <v>0.56000000000000005</v>
      </c>
      <c r="I8" s="85">
        <f t="shared" si="3"/>
        <v>3.8073604433898254</v>
      </c>
      <c r="J8" s="85"/>
    </row>
    <row r="9" spans="1:10" ht="20.25" customHeight="1">
      <c r="A9" s="64"/>
      <c r="B9" s="65">
        <v>6</v>
      </c>
      <c r="C9" s="82">
        <f>'1 R1 Pop'!G10/$C$37</f>
        <v>4132.8822280071936</v>
      </c>
      <c r="D9" s="68">
        <f t="shared" si="1"/>
        <v>4132.8822280071936</v>
      </c>
      <c r="E9" s="887">
        <f t="shared" si="0"/>
        <v>2397.071692244172</v>
      </c>
      <c r="F9" s="888">
        <f t="shared" si="2"/>
        <v>2397.071692244172</v>
      </c>
      <c r="G9" s="589"/>
      <c r="H9" s="69">
        <v>0.57999999999999996</v>
      </c>
      <c r="I9" s="85">
        <f t="shared" si="3"/>
        <v>86.578308805519555</v>
      </c>
      <c r="J9" s="85"/>
    </row>
    <row r="10" spans="1:10" ht="20.25" customHeight="1">
      <c r="A10" s="64"/>
      <c r="B10" s="65">
        <v>7</v>
      </c>
      <c r="C10" s="82">
        <f>'1 R1 Pop'!G11/$C$37</f>
        <v>4139.1729473264331</v>
      </c>
      <c r="D10" s="68">
        <f t="shared" si="1"/>
        <v>4139.1729473264331</v>
      </c>
      <c r="E10" s="887">
        <f t="shared" si="0"/>
        <v>2814.6376041819749</v>
      </c>
      <c r="F10" s="888">
        <f t="shared" si="2"/>
        <v>2814.6376041819749</v>
      </c>
      <c r="G10" s="589"/>
      <c r="H10" s="69">
        <v>0.68</v>
      </c>
      <c r="I10" s="85">
        <f t="shared" si="3"/>
        <v>417.56591193780287</v>
      </c>
      <c r="J10" s="85"/>
    </row>
    <row r="11" spans="1:10" ht="20.25" customHeight="1">
      <c r="A11" s="64"/>
      <c r="B11" s="65">
        <v>8</v>
      </c>
      <c r="C11" s="82">
        <f>'1 R1 Pop'!G12/$C$37</f>
        <v>4145.4636666456727</v>
      </c>
      <c r="D11" s="68">
        <f t="shared" si="1"/>
        <v>4145.4636666456727</v>
      </c>
      <c r="E11" s="887">
        <f t="shared" si="0"/>
        <v>2984.7338399848841</v>
      </c>
      <c r="F11" s="888">
        <f t="shared" si="2"/>
        <v>2984.7338399848841</v>
      </c>
      <c r="G11" s="589"/>
      <c r="H11" s="69">
        <v>0.72</v>
      </c>
      <c r="I11" s="85">
        <f t="shared" si="3"/>
        <v>170.09623580290918</v>
      </c>
      <c r="J11" s="85"/>
    </row>
    <row r="12" spans="1:10" ht="20.25" customHeight="1">
      <c r="A12" s="64"/>
      <c r="B12" s="65">
        <v>9</v>
      </c>
      <c r="C12" s="82">
        <f>'1 R1 Pop'!G13/$C$37</f>
        <v>4151.7543859649122</v>
      </c>
      <c r="D12" s="68">
        <f t="shared" si="1"/>
        <v>4151.7543859649122</v>
      </c>
      <c r="E12" s="887">
        <f t="shared" si="0"/>
        <v>3113.8157894736842</v>
      </c>
      <c r="F12" s="888">
        <f t="shared" si="2"/>
        <v>3113.8157894736842</v>
      </c>
      <c r="G12" s="589"/>
      <c r="H12" s="69">
        <v>0.75</v>
      </c>
      <c r="I12" s="85">
        <f t="shared" si="3"/>
        <v>129.08194948880009</v>
      </c>
      <c r="J12" s="85"/>
    </row>
    <row r="13" spans="1:10" ht="20.25" customHeight="1">
      <c r="A13" s="64"/>
      <c r="B13" s="65">
        <v>10</v>
      </c>
      <c r="C13" s="82">
        <f>'1 R1 Pop'!G14/$C$37</f>
        <v>4158.3509156817054</v>
      </c>
      <c r="D13" s="68">
        <f t="shared" si="1"/>
        <v>4158.3509156817054</v>
      </c>
      <c r="E13" s="887">
        <f t="shared" si="0"/>
        <v>3285.0972233885473</v>
      </c>
      <c r="F13" s="888">
        <f t="shared" si="2"/>
        <v>3285.0972233885473</v>
      </c>
      <c r="G13" s="589"/>
      <c r="H13" s="69">
        <v>0.79</v>
      </c>
      <c r="I13" s="85">
        <f t="shared" si="3"/>
        <v>171.2814339148631</v>
      </c>
      <c r="J13" s="85"/>
    </row>
    <row r="14" spans="1:10" ht="20.25" customHeight="1">
      <c r="A14" s="64"/>
      <c r="B14" s="65">
        <v>11</v>
      </c>
      <c r="C14" s="82">
        <f>'1 R1 Pop'!G15/$C$37</f>
        <v>4164.8439632187765</v>
      </c>
      <c r="D14" s="68">
        <f t="shared" si="1"/>
        <v>4164.8439632187765</v>
      </c>
      <c r="E14" s="887">
        <f t="shared" si="0"/>
        <v>3623.4142480003356</v>
      </c>
      <c r="F14" s="888">
        <f t="shared" si="2"/>
        <v>3623.4142480003356</v>
      </c>
      <c r="G14" s="589"/>
      <c r="H14" s="69">
        <v>0.87</v>
      </c>
      <c r="I14" s="85">
        <f t="shared" si="3"/>
        <v>338.31702461178838</v>
      </c>
      <c r="J14" s="85"/>
    </row>
    <row r="15" spans="1:10" ht="20.25" customHeight="1">
      <c r="A15" s="64"/>
      <c r="B15" s="65">
        <v>12</v>
      </c>
      <c r="C15" s="82">
        <f>'1 R1 Pop'!G16/$C$37</f>
        <v>4170.8288721404624</v>
      </c>
      <c r="D15" s="68">
        <f t="shared" si="1"/>
        <v>4170.8288721404624</v>
      </c>
      <c r="E15" s="86">
        <v>4132.912246030095</v>
      </c>
      <c r="F15" s="87">
        <f t="shared" si="2"/>
        <v>4132.912246030095</v>
      </c>
      <c r="G15" s="589"/>
      <c r="H15" s="84"/>
      <c r="I15" s="85">
        <f t="shared" si="3"/>
        <v>509.4979980297594</v>
      </c>
      <c r="J15" s="85"/>
    </row>
    <row r="16" spans="1:10" ht="20.25" customHeight="1">
      <c r="A16" s="64"/>
      <c r="B16" s="65">
        <v>13</v>
      </c>
      <c r="C16" s="82">
        <f>'1 R1 Pop'!G17/$C$37</f>
        <v>4176.8137810621483</v>
      </c>
      <c r="D16" s="68">
        <f t="shared" si="1"/>
        <v>4176.8137810621483</v>
      </c>
      <c r="E16" s="86">
        <v>4138.8427466888561</v>
      </c>
      <c r="F16" s="87">
        <f t="shared" si="2"/>
        <v>4138.8427466888561</v>
      </c>
      <c r="G16" s="589"/>
      <c r="H16" s="84"/>
      <c r="I16" s="85">
        <f t="shared" si="3"/>
        <v>5.9305006587610478</v>
      </c>
      <c r="J16" s="85"/>
    </row>
    <row r="17" spans="1:10" ht="20.25" customHeight="1">
      <c r="A17" s="64"/>
      <c r="B17" s="65">
        <v>14</v>
      </c>
      <c r="C17" s="82">
        <f>'1 R1 Pop'!G18/$C$37</f>
        <v>4182.7986899838343</v>
      </c>
      <c r="D17" s="68">
        <f t="shared" si="1"/>
        <v>4182.7986899838343</v>
      </c>
      <c r="E17" s="86">
        <v>4144.7732473476181</v>
      </c>
      <c r="F17" s="87">
        <f t="shared" si="2"/>
        <v>4144.7732473476181</v>
      </c>
      <c r="G17" s="589"/>
      <c r="H17" s="84"/>
      <c r="I17" s="85">
        <f t="shared" si="3"/>
        <v>5.9305006587619573</v>
      </c>
      <c r="J17" s="85"/>
    </row>
    <row r="18" spans="1:10" ht="20.25" customHeight="1">
      <c r="A18" s="64"/>
      <c r="B18" s="65">
        <v>15</v>
      </c>
      <c r="C18" s="82">
        <f>'1 R1 Pop'!G19/$C$37</f>
        <v>4188.7835989055211</v>
      </c>
      <c r="D18" s="68">
        <f t="shared" si="1"/>
        <v>4188.7835989055211</v>
      </c>
      <c r="E18" s="86">
        <v>4150.70374800638</v>
      </c>
      <c r="F18" s="87">
        <f t="shared" si="2"/>
        <v>4150.70374800638</v>
      </c>
      <c r="G18" s="589"/>
      <c r="H18" s="84"/>
      <c r="I18" s="85">
        <f t="shared" si="3"/>
        <v>5.9305006587619573</v>
      </c>
      <c r="J18" s="85"/>
    </row>
    <row r="19" spans="1:10" ht="20.25" customHeight="1">
      <c r="A19" s="64"/>
      <c r="B19" s="65">
        <v>16</v>
      </c>
      <c r="C19" s="82">
        <f>'1 R1 Pop'!G20/$C$37</f>
        <v>4193.5591746618238</v>
      </c>
      <c r="D19" s="68">
        <f t="shared" si="1"/>
        <v>4193.5591746618238</v>
      </c>
      <c r="E19" s="86">
        <v>4155.4359094376259</v>
      </c>
      <c r="F19" s="87">
        <f t="shared" si="2"/>
        <v>4155.4359094376259</v>
      </c>
      <c r="G19" s="589"/>
      <c r="H19" s="84"/>
      <c r="I19" s="85">
        <f t="shared" si="3"/>
        <v>4.7321614312459133</v>
      </c>
      <c r="J19" s="85"/>
    </row>
    <row r="20" spans="1:10" ht="20.25" customHeight="1">
      <c r="A20" s="64"/>
      <c r="B20" s="65">
        <v>17</v>
      </c>
      <c r="C20" s="82">
        <f>'1 R1 Pop'!G21/$C$37</f>
        <v>4198.4289603146271</v>
      </c>
      <c r="D20" s="68">
        <f t="shared" si="1"/>
        <v>4198.4289603146271</v>
      </c>
      <c r="E20" s="86">
        <v>4160.2614243117678</v>
      </c>
      <c r="F20" s="87">
        <f t="shared" si="2"/>
        <v>4160.2614243117678</v>
      </c>
      <c r="G20" s="589"/>
      <c r="H20" s="84"/>
      <c r="I20" s="85">
        <f t="shared" si="3"/>
        <v>4.8255148741418452</v>
      </c>
      <c r="J20" s="85"/>
    </row>
    <row r="21" spans="1:10" ht="20.25" customHeight="1">
      <c r="A21" s="64"/>
      <c r="B21" s="65">
        <v>18</v>
      </c>
      <c r="C21" s="82">
        <f>'1 R1 Pop'!G22/$C$37</f>
        <v>4203.2987459674314</v>
      </c>
      <c r="D21" s="68">
        <f t="shared" si="1"/>
        <v>4203.2987459674314</v>
      </c>
      <c r="E21" s="86">
        <v>4165.0869391859096</v>
      </c>
      <c r="F21" s="87">
        <f t="shared" si="2"/>
        <v>4165.0869391859096</v>
      </c>
      <c r="G21" s="589"/>
      <c r="H21" s="84"/>
      <c r="I21" s="85">
        <f t="shared" si="3"/>
        <v>4.8255148741418452</v>
      </c>
      <c r="J21" s="85"/>
    </row>
    <row r="22" spans="1:10" s="72" customFormat="1" ht="20.25" customHeight="1">
      <c r="A22" s="64"/>
      <c r="B22" s="65">
        <v>19</v>
      </c>
      <c r="C22" s="82">
        <f>'1 R1 Pop'!G23/$C$37</f>
        <v>4208.1685316202356</v>
      </c>
      <c r="D22" s="68">
        <f t="shared" si="1"/>
        <v>4208.1685316202356</v>
      </c>
      <c r="E22" s="86">
        <v>4169.9124540600515</v>
      </c>
      <c r="F22" s="87">
        <f t="shared" si="2"/>
        <v>4169.9124540600515</v>
      </c>
      <c r="G22" s="589"/>
      <c r="H22" s="84"/>
      <c r="I22" s="85">
        <f t="shared" si="3"/>
        <v>4.8255148741418452</v>
      </c>
      <c r="J22" s="85"/>
    </row>
    <row r="23" spans="1:10" ht="20.25" customHeight="1">
      <c r="A23" s="64"/>
      <c r="B23" s="65">
        <v>20</v>
      </c>
      <c r="C23" s="82">
        <f>'1 R1 Pop'!G24/$C$37</f>
        <v>4213.038317273039</v>
      </c>
      <c r="D23" s="68">
        <f t="shared" si="1"/>
        <v>4213.038317273039</v>
      </c>
      <c r="E23" s="86">
        <v>4174.7379689341933</v>
      </c>
      <c r="F23" s="87">
        <f t="shared" si="2"/>
        <v>4174.7379689341933</v>
      </c>
      <c r="G23" s="589"/>
      <c r="H23" s="84"/>
      <c r="I23" s="85">
        <f t="shared" si="3"/>
        <v>4.8255148741418452</v>
      </c>
      <c r="J23" s="85"/>
    </row>
    <row r="24" spans="1:10" ht="20.25" customHeight="1">
      <c r="A24" s="64"/>
      <c r="B24" s="65">
        <v>21</v>
      </c>
      <c r="C24" s="82">
        <f>'1 R1 Pop'!G25/$C$37</f>
        <v>4219.0278623363356</v>
      </c>
      <c r="D24" s="68">
        <f t="shared" si="1"/>
        <v>4219.0278623363356</v>
      </c>
      <c r="E24" s="86">
        <v>4180.673063587823</v>
      </c>
      <c r="F24" s="87">
        <f t="shared" si="2"/>
        <v>4180.673063587823</v>
      </c>
      <c r="G24" s="589"/>
      <c r="H24" s="84"/>
      <c r="I24" s="85">
        <f t="shared" si="3"/>
        <v>5.935094653629676</v>
      </c>
      <c r="J24" s="85"/>
    </row>
    <row r="25" spans="1:10" ht="20.25" customHeight="1">
      <c r="A25" s="64"/>
      <c r="B25" s="65">
        <v>22</v>
      </c>
      <c r="C25" s="82">
        <f>'1 R1 Pop'!G26/$C$37</f>
        <v>4223.1871811559213</v>
      </c>
      <c r="D25" s="68">
        <f t="shared" si="1"/>
        <v>4223.1871811559213</v>
      </c>
      <c r="E25" s="86">
        <v>4184.7945704181402</v>
      </c>
      <c r="F25" s="87">
        <f t="shared" si="2"/>
        <v>4184.7945704181402</v>
      </c>
      <c r="G25" s="589"/>
      <c r="H25" s="84"/>
      <c r="I25" s="85">
        <f t="shared" si="3"/>
        <v>4.1215068303172302</v>
      </c>
      <c r="J25" s="85"/>
    </row>
    <row r="26" spans="1:10" s="72" customFormat="1" ht="20.25" customHeight="1">
      <c r="A26" s="64"/>
      <c r="B26" s="65">
        <v>23</v>
      </c>
      <c r="C26" s="82">
        <f>'1 R1 Pop'!G27/$C$37</f>
        <v>4227.346499975507</v>
      </c>
      <c r="D26" s="68">
        <f t="shared" si="1"/>
        <v>4227.346499975507</v>
      </c>
      <c r="E26" s="86">
        <v>4188.9160772484574</v>
      </c>
      <c r="F26" s="87">
        <f t="shared" si="2"/>
        <v>4188.9160772484574</v>
      </c>
      <c r="G26" s="589"/>
      <c r="H26" s="84"/>
      <c r="I26" s="85">
        <f t="shared" si="3"/>
        <v>4.1215068303172302</v>
      </c>
      <c r="J26" s="85"/>
    </row>
    <row r="27" spans="1:10" s="72" customFormat="1" ht="20.25" customHeight="1">
      <c r="A27" s="64"/>
      <c r="B27" s="65">
        <v>24</v>
      </c>
      <c r="C27" s="82">
        <f>'1 R1 Pop'!G28/$C$37</f>
        <v>4231.5058187950935</v>
      </c>
      <c r="D27" s="68">
        <f t="shared" si="1"/>
        <v>4231.5058187950935</v>
      </c>
      <c r="E27" s="86">
        <v>4193.0375840787747</v>
      </c>
      <c r="F27" s="87">
        <f t="shared" si="2"/>
        <v>4193.0375840787747</v>
      </c>
      <c r="G27" s="589"/>
      <c r="H27" s="84"/>
      <c r="I27" s="85">
        <f t="shared" si="3"/>
        <v>4.1215068303172302</v>
      </c>
      <c r="J27" s="85"/>
    </row>
    <row r="28" spans="1:10" ht="20.25" customHeight="1">
      <c r="A28" s="64"/>
      <c r="B28" s="65">
        <v>25</v>
      </c>
      <c r="C28" s="82">
        <f>'1 R1 Pop'!G29/$C$37</f>
        <v>4235.6651376146792</v>
      </c>
      <c r="D28" s="68">
        <f t="shared" si="1"/>
        <v>4235.6651376146792</v>
      </c>
      <c r="E28" s="86">
        <v>4197.159090909091</v>
      </c>
      <c r="F28" s="87">
        <f t="shared" si="2"/>
        <v>4197.159090909091</v>
      </c>
      <c r="G28" s="589"/>
      <c r="H28" s="84"/>
      <c r="I28" s="85">
        <f t="shared" si="3"/>
        <v>4.1215068303163207</v>
      </c>
      <c r="J28" s="85"/>
    </row>
    <row r="29" spans="1:10" ht="20.25" customHeight="1">
      <c r="A29" s="64"/>
      <c r="B29" s="65">
        <v>26</v>
      </c>
      <c r="C29" s="82">
        <f>'1 R1 Pop'!G30/$C$37</f>
        <v>4241.654682677975</v>
      </c>
      <c r="D29" s="68">
        <f t="shared" si="1"/>
        <v>4241.654682677975</v>
      </c>
      <c r="E29" s="86">
        <v>4203.0941855627216</v>
      </c>
      <c r="F29" s="87">
        <f t="shared" si="2"/>
        <v>4203.0941855627216</v>
      </c>
      <c r="G29" s="589"/>
      <c r="H29" s="84"/>
      <c r="I29" s="85">
        <f t="shared" si="3"/>
        <v>5.9350946536305855</v>
      </c>
      <c r="J29" s="85"/>
    </row>
    <row r="30" spans="1:10" ht="20.25" customHeight="1">
      <c r="A30" s="64"/>
      <c r="B30" s="65">
        <v>27</v>
      </c>
      <c r="C30" s="82">
        <f>'1 R1 Pop'!G31/$C$37</f>
        <v>4246.016329715394</v>
      </c>
      <c r="D30" s="68">
        <f t="shared" si="1"/>
        <v>4246.016329715394</v>
      </c>
      <c r="E30" s="86">
        <v>4207.4161812634356</v>
      </c>
      <c r="F30" s="87">
        <f t="shared" si="2"/>
        <v>4207.4161812634356</v>
      </c>
      <c r="G30" s="589"/>
      <c r="H30" s="84"/>
      <c r="I30" s="85">
        <f t="shared" si="3"/>
        <v>4.3219957007140692</v>
      </c>
      <c r="J30" s="85"/>
    </row>
    <row r="31" spans="1:10" ht="20.25" customHeight="1">
      <c r="A31" s="64"/>
      <c r="B31" s="65">
        <v>28</v>
      </c>
      <c r="C31" s="82">
        <f>'1 R1 Pop'!G32/$C$37</f>
        <v>4250.4814589325324</v>
      </c>
      <c r="D31" s="68">
        <f t="shared" si="1"/>
        <v>4250.4814589325324</v>
      </c>
      <c r="E31" s="86">
        <v>4211.8407183967829</v>
      </c>
      <c r="F31" s="87">
        <f t="shared" si="2"/>
        <v>4211.8407183967829</v>
      </c>
      <c r="G31" s="589"/>
      <c r="H31" s="84"/>
      <c r="I31" s="85">
        <f t="shared" si="3"/>
        <v>4.4245371333472576</v>
      </c>
      <c r="J31" s="85"/>
    </row>
    <row r="32" spans="1:10" ht="20.25" customHeight="1">
      <c r="A32" s="64"/>
      <c r="B32" s="65">
        <v>29</v>
      </c>
      <c r="C32" s="82">
        <f>'1 R1 Pop'!G33/$C$37</f>
        <v>4255.1489163675042</v>
      </c>
      <c r="D32" s="68">
        <f t="shared" si="1"/>
        <v>4255.1489163675042</v>
      </c>
      <c r="E32" s="86">
        <v>4216.4657444005279</v>
      </c>
      <c r="F32" s="87">
        <f t="shared" si="2"/>
        <v>4216.4657444005279</v>
      </c>
      <c r="G32" s="589"/>
      <c r="H32" s="84"/>
      <c r="I32" s="85">
        <f t="shared" si="3"/>
        <v>4.6250260037450062</v>
      </c>
      <c r="J32" s="85"/>
    </row>
    <row r="33" spans="1:10" ht="20.25" customHeight="1" thickBot="1">
      <c r="A33" s="64"/>
      <c r="B33" s="73">
        <v>30</v>
      </c>
      <c r="C33" s="374">
        <f>'1 R1 Pop'!G34/$C$37</f>
        <v>4257.6849733028221</v>
      </c>
      <c r="D33" s="76">
        <f t="shared" si="1"/>
        <v>4257.6849733028221</v>
      </c>
      <c r="E33" s="375">
        <f>D33*100%</f>
        <v>4257.6849733028221</v>
      </c>
      <c r="F33" s="376">
        <f t="shared" si="2"/>
        <v>4257.6849733028221</v>
      </c>
      <c r="G33" s="589"/>
      <c r="H33" s="84"/>
      <c r="I33" s="85">
        <f t="shared" si="3"/>
        <v>41.219228902294162</v>
      </c>
      <c r="J33" s="85"/>
    </row>
    <row r="34" spans="1:10">
      <c r="A34" s="72"/>
      <c r="I34" s="85">
        <f>SUM(I4:I33)</f>
        <v>1967.2167544909335</v>
      </c>
    </row>
    <row r="35" spans="1:10">
      <c r="D35" s="88"/>
      <c r="E35" s="88"/>
      <c r="F35" s="88"/>
      <c r="G35" s="88"/>
      <c r="I35" s="85"/>
    </row>
    <row r="37" spans="1:10">
      <c r="C37" s="23">
        <v>3.27</v>
      </c>
      <c r="D37" s="47" t="s">
        <v>55</v>
      </c>
    </row>
  </sheetData>
  <mergeCells count="6">
    <mergeCell ref="B2:B3"/>
    <mergeCell ref="C2:C3"/>
    <mergeCell ref="F2:F3"/>
    <mergeCell ref="B1:F1"/>
    <mergeCell ref="E2:E3"/>
    <mergeCell ref="D2:D3"/>
  </mergeCells>
  <phoneticPr fontId="12" type="noConversion"/>
  <printOptions horizontalCentered="1"/>
  <pageMargins left="0.98425196850393704" right="0.59055118110236227" top="1.9685039370078741" bottom="1.0629921259842521" header="0.39370078740157483" footer="0.39370078740157483"/>
  <pageSetup paperSize="9" scale="82" orientation="portrait" r:id="rId1"/>
  <headerFooter alignWithMargins="0"/>
  <ignoredErrors>
    <ignoredError sqref="E33 E4:E14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>
    <tabColor rgb="FF00B050"/>
    <pageSetUpPr fitToPage="1"/>
  </sheetPr>
  <dimension ref="B1:N42"/>
  <sheetViews>
    <sheetView showGridLines="0" workbookViewId="0">
      <selection activeCell="F8" sqref="F8:F10"/>
    </sheetView>
  </sheetViews>
  <sheetFormatPr defaultColWidth="11.5703125" defaultRowHeight="14.25"/>
  <cols>
    <col min="1" max="1" width="2.7109375" style="41" customWidth="1"/>
    <col min="2" max="2" width="9.7109375" style="41" customWidth="1"/>
    <col min="3" max="7" width="22.85546875" style="41" customWidth="1"/>
    <col min="8" max="8" width="2.7109375" style="41" customWidth="1"/>
    <col min="9" max="17" width="11.5703125" style="41" customWidth="1"/>
    <col min="18" max="16384" width="11.5703125" style="41"/>
  </cols>
  <sheetData>
    <row r="1" spans="2:14" ht="30" customHeight="1" thickBot="1">
      <c r="B1" s="89" t="s">
        <v>44</v>
      </c>
      <c r="J1" s="92" t="s">
        <v>58</v>
      </c>
      <c r="K1" s="92" t="s">
        <v>59</v>
      </c>
      <c r="L1" s="92" t="s">
        <v>60</v>
      </c>
      <c r="M1" s="92" t="s">
        <v>61</v>
      </c>
      <c r="N1" s="345"/>
    </row>
    <row r="2" spans="2:14" ht="21.75" customHeight="1">
      <c r="B2" s="1222" t="s">
        <v>1</v>
      </c>
      <c r="C2" s="1224" t="s">
        <v>260</v>
      </c>
      <c r="D2" s="1226" t="s">
        <v>261</v>
      </c>
      <c r="E2" s="1226" t="s">
        <v>262</v>
      </c>
      <c r="F2" s="1226" t="s">
        <v>263</v>
      </c>
      <c r="G2" s="1226" t="s">
        <v>8</v>
      </c>
      <c r="J2" s="1220" t="s">
        <v>56</v>
      </c>
      <c r="K2" s="1220" t="s">
        <v>62</v>
      </c>
      <c r="L2" s="1220" t="s">
        <v>57</v>
      </c>
      <c r="M2" s="90"/>
      <c r="N2" s="346"/>
    </row>
    <row r="3" spans="2:14" s="89" customFormat="1" ht="30.75" customHeight="1" thickBot="1">
      <c r="B3" s="1223"/>
      <c r="C3" s="1225"/>
      <c r="D3" s="1227"/>
      <c r="E3" s="1227"/>
      <c r="F3" s="1227"/>
      <c r="G3" s="1227"/>
      <c r="H3" s="41"/>
      <c r="I3" s="41"/>
      <c r="J3" s="1221"/>
      <c r="K3" s="1221"/>
      <c r="L3" s="1221"/>
      <c r="M3" s="91"/>
      <c r="N3" s="347"/>
    </row>
    <row r="4" spans="2:14" ht="20.25" customHeight="1">
      <c r="B4" s="93">
        <v>1</v>
      </c>
      <c r="C4" s="94">
        <f>D4/(1-G4)</f>
        <v>1153299.4359067942</v>
      </c>
      <c r="D4" s="94">
        <f>(('1 R1 Pop'!G5*'3 Vol'!K4)/1000)*365</f>
        <v>576649.71795339708</v>
      </c>
      <c r="E4" s="94">
        <f>L4*(60*60*24*365)/1000</f>
        <v>576649.71795339708</v>
      </c>
      <c r="F4" s="95">
        <f>E4/M4</f>
        <v>721108.36546377453</v>
      </c>
      <c r="G4" s="343">
        <v>0.5</v>
      </c>
      <c r="J4" s="96">
        <v>36.497889428739995</v>
      </c>
      <c r="K4" s="96">
        <v>117.91727851199218</v>
      </c>
      <c r="L4" s="96">
        <v>18.285442603798739</v>
      </c>
      <c r="M4" s="97">
        <v>0.79967137474896699</v>
      </c>
      <c r="N4" s="348"/>
    </row>
    <row r="5" spans="2:14" ht="20.25" customHeight="1">
      <c r="B5" s="98">
        <v>2</v>
      </c>
      <c r="C5" s="94">
        <f t="shared" ref="C5:C33" si="0">D5/(1-G5)</f>
        <v>1087946.0179781113</v>
      </c>
      <c r="D5" s="94">
        <f>(('1 R1 Pop'!G6*'3 Vol'!K5)/1000)*365</f>
        <v>587490.84970818018</v>
      </c>
      <c r="E5" s="94">
        <f t="shared" ref="E5:E33" si="1">L5*(60*60*24*365)/1000</f>
        <v>587490.84970818018</v>
      </c>
      <c r="F5" s="95">
        <f t="shared" ref="F5:F33" si="2">E5/M5</f>
        <v>734665.34911619837</v>
      </c>
      <c r="G5" s="344">
        <v>0.46</v>
      </c>
      <c r="J5" s="99">
        <v>34.498541919650918</v>
      </c>
      <c r="K5" s="99">
        <v>119.9233068015607</v>
      </c>
      <c r="L5" s="99">
        <v>18.629212636611499</v>
      </c>
      <c r="M5" s="97">
        <v>0.79967137474896699</v>
      </c>
      <c r="N5" s="348"/>
    </row>
    <row r="6" spans="2:14" ht="20.25" customHeight="1">
      <c r="B6" s="98">
        <v>3</v>
      </c>
      <c r="C6" s="94">
        <f t="shared" si="0"/>
        <v>997277.46023463074</v>
      </c>
      <c r="D6" s="94">
        <f>(('1 R1 Pop'!G7*'3 Vol'!K6)/1000)*365</f>
        <v>598366.4761407784</v>
      </c>
      <c r="E6" s="94">
        <f t="shared" si="1"/>
        <v>598366.4761407784</v>
      </c>
      <c r="F6" s="95">
        <f t="shared" si="2"/>
        <v>748265.46883539215</v>
      </c>
      <c r="G6" s="344">
        <v>0.4</v>
      </c>
      <c r="J6" s="99">
        <v>31.623460814137196</v>
      </c>
      <c r="K6" s="99">
        <v>121.92933509112919</v>
      </c>
      <c r="L6" s="99">
        <v>18.974076488482318</v>
      </c>
      <c r="M6" s="97">
        <v>0.79967137474896699</v>
      </c>
      <c r="N6" s="348"/>
    </row>
    <row r="7" spans="2:14" ht="20.25" customHeight="1">
      <c r="B7" s="98">
        <v>4</v>
      </c>
      <c r="C7" s="94">
        <f t="shared" si="0"/>
        <v>937395.71084783855</v>
      </c>
      <c r="D7" s="94">
        <f>(('1 R1 Pop'!G8*'3 Vol'!K7)/1000)*365</f>
        <v>609307.21205109509</v>
      </c>
      <c r="E7" s="94">
        <f t="shared" si="1"/>
        <v>609307.21205109498</v>
      </c>
      <c r="F7" s="95">
        <f t="shared" si="2"/>
        <v>761947.00884768926</v>
      </c>
      <c r="G7" s="344">
        <v>0.35</v>
      </c>
      <c r="J7" s="99">
        <v>29.724622997458095</v>
      </c>
      <c r="K7" s="99">
        <v>123.93536338069769</v>
      </c>
      <c r="L7" s="99">
        <v>19.321004948347763</v>
      </c>
      <c r="M7" s="97">
        <v>0.79967137474896699</v>
      </c>
      <c r="N7" s="348"/>
    </row>
    <row r="8" spans="2:14" ht="20.25" customHeight="1">
      <c r="B8" s="98">
        <v>5</v>
      </c>
      <c r="C8" s="94">
        <f t="shared" si="0"/>
        <v>885987.85212970909</v>
      </c>
      <c r="D8" s="94">
        <f>(('1 R1 Pop'!G9*'3 Vol'!K8)/1000)*365</f>
        <v>620191.49649079633</v>
      </c>
      <c r="E8" s="94">
        <f t="shared" si="1"/>
        <v>620191.49649079633</v>
      </c>
      <c r="F8" s="95">
        <f t="shared" si="2"/>
        <v>775557.955523276</v>
      </c>
      <c r="G8" s="344">
        <v>0.3</v>
      </c>
      <c r="J8" s="99">
        <v>28.094490491175456</v>
      </c>
      <c r="K8" s="99">
        <v>125.94139167026621</v>
      </c>
      <c r="L8" s="99">
        <v>19.666143343822817</v>
      </c>
      <c r="M8" s="97">
        <v>0.79967137474896699</v>
      </c>
      <c r="N8" s="348"/>
    </row>
    <row r="9" spans="2:14" ht="20.25" customHeight="1">
      <c r="B9" s="98">
        <v>6</v>
      </c>
      <c r="C9" s="94">
        <f t="shared" si="0"/>
        <v>876582.27187373373</v>
      </c>
      <c r="D9" s="94">
        <f>(('1 R1 Pop'!G10*'3 Vol'!K9)/1000)*365</f>
        <v>631139.23574908823</v>
      </c>
      <c r="E9" s="94">
        <f t="shared" si="1"/>
        <v>631139.23574908834</v>
      </c>
      <c r="F9" s="95">
        <f t="shared" si="2"/>
        <v>789248.253318078</v>
      </c>
      <c r="G9" s="344">
        <v>0.28000000000000003</v>
      </c>
      <c r="J9" s="99">
        <v>27.79624149777187</v>
      </c>
      <c r="K9" s="99">
        <v>127.94741995983472</v>
      </c>
      <c r="L9" s="99">
        <v>20.013293878395746</v>
      </c>
      <c r="M9" s="97">
        <v>0.79967137474896699</v>
      </c>
      <c r="N9" s="348"/>
    </row>
    <row r="10" spans="2:14" ht="20.25" customHeight="1">
      <c r="B10" s="98">
        <v>7</v>
      </c>
      <c r="C10" s="94">
        <f t="shared" si="0"/>
        <v>854189.05653049541</v>
      </c>
      <c r="D10" s="94">
        <f>(('1 R1 Pop'!G11*'3 Vol'!K10)/1000)*365</f>
        <v>632099.9018325666</v>
      </c>
      <c r="E10" s="94">
        <f t="shared" si="1"/>
        <v>632099.9018325666</v>
      </c>
      <c r="F10" s="95">
        <f t="shared" si="2"/>
        <v>790449.57940503443</v>
      </c>
      <c r="G10" s="344">
        <v>0.26</v>
      </c>
      <c r="J10" s="99">
        <v>27.086157297390137</v>
      </c>
      <c r="K10" s="99">
        <v>127.94741995983472</v>
      </c>
      <c r="L10" s="99">
        <v>20.043756400068702</v>
      </c>
      <c r="M10" s="97">
        <v>0.79967137474896699</v>
      </c>
      <c r="N10" s="348"/>
    </row>
    <row r="11" spans="2:14" ht="20.25" customHeight="1">
      <c r="B11" s="98">
        <v>8</v>
      </c>
      <c r="C11" s="94">
        <f t="shared" si="0"/>
        <v>844080.75722139317</v>
      </c>
      <c r="D11" s="94">
        <f>(('1 R1 Pop'!G12*'3 Vol'!K11)/1000)*365</f>
        <v>633060.56791604485</v>
      </c>
      <c r="E11" s="94">
        <f t="shared" si="1"/>
        <v>633060.56791604485</v>
      </c>
      <c r="F11" s="95">
        <f t="shared" si="2"/>
        <v>791650.90549199085</v>
      </c>
      <c r="G11" s="344">
        <v>0.25</v>
      </c>
      <c r="J11" s="99">
        <v>26.413445949660069</v>
      </c>
      <c r="K11" s="99">
        <v>127.94741995983472</v>
      </c>
      <c r="L11" s="99">
        <v>20.074218921741654</v>
      </c>
      <c r="M11" s="97">
        <v>0.79967137474896699</v>
      </c>
      <c r="N11" s="348"/>
    </row>
    <row r="12" spans="2:14" ht="20.25" customHeight="1">
      <c r="B12" s="98">
        <v>9</v>
      </c>
      <c r="C12" s="94">
        <f t="shared" si="0"/>
        <v>845361.64533269766</v>
      </c>
      <c r="D12" s="94">
        <f>(('1 R1 Pop'!G13*'3 Vol'!K12)/1000)*365</f>
        <v>634021.23399952322</v>
      </c>
      <c r="E12" s="94">
        <f t="shared" si="1"/>
        <v>634021.23399952333</v>
      </c>
      <c r="F12" s="95">
        <f t="shared" si="2"/>
        <v>792852.23157894751</v>
      </c>
      <c r="G12" s="344">
        <f>G11</f>
        <v>0.25</v>
      </c>
      <c r="J12" s="99">
        <v>25.775232619762324</v>
      </c>
      <c r="K12" s="99">
        <v>127.94741995983472</v>
      </c>
      <c r="L12" s="99">
        <v>20.104681443414613</v>
      </c>
      <c r="M12" s="97">
        <v>0.79967137474896699</v>
      </c>
      <c r="N12" s="348"/>
    </row>
    <row r="13" spans="2:14" ht="20.25" customHeight="1">
      <c r="B13" s="98">
        <v>10</v>
      </c>
      <c r="C13" s="94">
        <f t="shared" si="0"/>
        <v>846704.80118838232</v>
      </c>
      <c r="D13" s="94">
        <f>(('1 R1 Pop'!G14*'3 Vol'!K13)/1000)*365</f>
        <v>635028.60089128674</v>
      </c>
      <c r="E13" s="94">
        <f t="shared" si="1"/>
        <v>635028.60089128674</v>
      </c>
      <c r="F13" s="95">
        <f t="shared" si="2"/>
        <v>794111.95766590373</v>
      </c>
      <c r="G13" s="344">
        <f t="shared" ref="G13:G33" si="3">G12</f>
        <v>0.25</v>
      </c>
      <c r="J13" s="99">
        <v>25.170781047504704</v>
      </c>
      <c r="K13" s="99">
        <v>127.94741995983472</v>
      </c>
      <c r="L13" s="99">
        <v>20.136624838003765</v>
      </c>
      <c r="M13" s="97">
        <v>0.79967137474896699</v>
      </c>
      <c r="N13" s="348"/>
    </row>
    <row r="14" spans="2:14" ht="20.25" customHeight="1">
      <c r="B14" s="98">
        <v>11</v>
      </c>
      <c r="C14" s="94">
        <f t="shared" si="0"/>
        <v>848026.88646580593</v>
      </c>
      <c r="D14" s="94">
        <f>(('1 R1 Pop'!G15*'3 Vol'!K14)/1000)*365</f>
        <v>636020.16484935442</v>
      </c>
      <c r="E14" s="94">
        <f t="shared" si="1"/>
        <v>636020.16484935442</v>
      </c>
      <c r="F14" s="95">
        <f t="shared" si="2"/>
        <v>795351.92196796346</v>
      </c>
      <c r="G14" s="344">
        <f t="shared" si="3"/>
        <v>0.25</v>
      </c>
      <c r="J14" s="99">
        <v>25.210083906065858</v>
      </c>
      <c r="K14" s="99">
        <v>127.94741995983472</v>
      </c>
      <c r="L14" s="99">
        <v>20.168067124852687</v>
      </c>
      <c r="M14" s="97">
        <v>0.79967137474896699</v>
      </c>
      <c r="N14" s="348"/>
    </row>
    <row r="15" spans="2:14" ht="20.25" customHeight="1">
      <c r="B15" s="98">
        <v>12</v>
      </c>
      <c r="C15" s="94">
        <f t="shared" si="0"/>
        <v>849245.50683272991</v>
      </c>
      <c r="D15" s="94">
        <f>(('1 R1 Pop'!G16*'3 Vol'!K15)/1000)*365</f>
        <v>636934.1301245474</v>
      </c>
      <c r="E15" s="94">
        <f t="shared" si="1"/>
        <v>636934.1301245474</v>
      </c>
      <c r="F15" s="95">
        <f t="shared" si="2"/>
        <v>796494.84805491997</v>
      </c>
      <c r="G15" s="344">
        <f t="shared" si="3"/>
        <v>0.25</v>
      </c>
      <c r="J15" s="99">
        <v>25.246310967011802</v>
      </c>
      <c r="K15" s="99">
        <v>127.94741995983472</v>
      </c>
      <c r="L15" s="99">
        <v>20.197048773609442</v>
      </c>
      <c r="M15" s="97">
        <v>0.79967137474896699</v>
      </c>
      <c r="N15" s="348"/>
    </row>
    <row r="16" spans="2:14" ht="20.25" customHeight="1">
      <c r="B16" s="98">
        <v>13</v>
      </c>
      <c r="C16" s="94">
        <f t="shared" si="0"/>
        <v>850464.12719965365</v>
      </c>
      <c r="D16" s="94">
        <f>(('1 R1 Pop'!G17*'3 Vol'!K16)/1000)*365</f>
        <v>637848.09539974027</v>
      </c>
      <c r="E16" s="94">
        <f t="shared" si="1"/>
        <v>637848.09539974038</v>
      </c>
      <c r="F16" s="95">
        <f t="shared" si="2"/>
        <v>797637.77414187649</v>
      </c>
      <c r="G16" s="344">
        <f t="shared" si="3"/>
        <v>0.25</v>
      </c>
      <c r="J16" s="99">
        <v>25.282538027957745</v>
      </c>
      <c r="K16" s="99">
        <v>127.94741995983472</v>
      </c>
      <c r="L16" s="99">
        <v>20.226030422366197</v>
      </c>
      <c r="M16" s="97">
        <v>0.79967137474896699</v>
      </c>
      <c r="N16" s="348"/>
    </row>
    <row r="17" spans="2:14" ht="20.25" customHeight="1">
      <c r="B17" s="98">
        <v>14</v>
      </c>
      <c r="C17" s="94">
        <f t="shared" si="0"/>
        <v>851682.74756657786</v>
      </c>
      <c r="D17" s="94">
        <f>(('1 R1 Pop'!G18*'3 Vol'!K17)/1000)*365</f>
        <v>638762.06067493337</v>
      </c>
      <c r="E17" s="94">
        <f t="shared" si="1"/>
        <v>638762.06067493348</v>
      </c>
      <c r="F17" s="95">
        <f t="shared" si="2"/>
        <v>798780.70022883313</v>
      </c>
      <c r="G17" s="344">
        <f t="shared" si="3"/>
        <v>0.25</v>
      </c>
      <c r="J17" s="99">
        <v>25.318765088903689</v>
      </c>
      <c r="K17" s="99">
        <v>127.94741995983472</v>
      </c>
      <c r="L17" s="99">
        <v>20.255012071122952</v>
      </c>
      <c r="M17" s="97">
        <v>0.79967137474896699</v>
      </c>
      <c r="N17" s="348"/>
    </row>
    <row r="18" spans="2:14" ht="20.25" customHeight="1">
      <c r="B18" s="98">
        <v>15</v>
      </c>
      <c r="C18" s="94">
        <f t="shared" si="0"/>
        <v>852901.36793350184</v>
      </c>
      <c r="D18" s="94">
        <f>(('1 R1 Pop'!G19*'3 Vol'!K18)/1000)*365</f>
        <v>639676.02595012635</v>
      </c>
      <c r="E18" s="94">
        <f t="shared" si="1"/>
        <v>639676.02595012647</v>
      </c>
      <c r="F18" s="95">
        <f t="shared" si="2"/>
        <v>799923.62631578965</v>
      </c>
      <c r="G18" s="344">
        <f t="shared" si="3"/>
        <v>0.25</v>
      </c>
      <c r="J18" s="99">
        <v>25.354992149849632</v>
      </c>
      <c r="K18" s="99">
        <v>127.94741995983472</v>
      </c>
      <c r="L18" s="99">
        <v>20.283993719879707</v>
      </c>
      <c r="M18" s="97">
        <v>0.79967137474896699</v>
      </c>
      <c r="N18" s="348"/>
    </row>
    <row r="19" spans="2:14" ht="20.25" customHeight="1">
      <c r="B19" s="98">
        <v>16</v>
      </c>
      <c r="C19" s="94">
        <f t="shared" si="0"/>
        <v>853873.7492941157</v>
      </c>
      <c r="D19" s="94">
        <f>(('1 R1 Pop'!G20*'3 Vol'!K19)/1000)*365</f>
        <v>640405.31197058677</v>
      </c>
      <c r="E19" s="94">
        <f t="shared" si="1"/>
        <v>640405.31197058677</v>
      </c>
      <c r="F19" s="95">
        <f t="shared" si="2"/>
        <v>800835.60846681916</v>
      </c>
      <c r="G19" s="344">
        <f t="shared" si="3"/>
        <v>0.25</v>
      </c>
      <c r="J19" s="99">
        <v>25.383899034856462</v>
      </c>
      <c r="K19" s="99">
        <v>127.94741995983472</v>
      </c>
      <c r="L19" s="99">
        <v>20.30711922788517</v>
      </c>
      <c r="M19" s="97">
        <v>0.79967137474896699</v>
      </c>
      <c r="N19" s="348"/>
    </row>
    <row r="20" spans="2:14" ht="20.25" customHeight="1">
      <c r="B20" s="98">
        <v>17</v>
      </c>
      <c r="C20" s="94">
        <f t="shared" si="0"/>
        <v>854865.31325218326</v>
      </c>
      <c r="D20" s="94">
        <f>(('1 R1 Pop'!G21*'3 Vol'!K20)/1000)*365</f>
        <v>641148.98493913747</v>
      </c>
      <c r="E20" s="94">
        <f t="shared" si="1"/>
        <v>641148.98493913736</v>
      </c>
      <c r="F20" s="95">
        <f t="shared" si="2"/>
        <v>801765.58169336373</v>
      </c>
      <c r="G20" s="344">
        <f t="shared" si="3"/>
        <v>0.25</v>
      </c>
      <c r="J20" s="99">
        <v>25.413376178777323</v>
      </c>
      <c r="K20" s="99">
        <v>127.94741995983472</v>
      </c>
      <c r="L20" s="99">
        <v>20.33070094302186</v>
      </c>
      <c r="M20" s="97">
        <v>0.79967137474896699</v>
      </c>
      <c r="N20" s="348"/>
    </row>
    <row r="21" spans="2:14" ht="20.25" customHeight="1">
      <c r="B21" s="98">
        <v>18</v>
      </c>
      <c r="C21" s="94">
        <f t="shared" si="0"/>
        <v>855856.87721025094</v>
      </c>
      <c r="D21" s="94">
        <f>(('1 R1 Pop'!G22*'3 Vol'!K21)/1000)*365</f>
        <v>641892.65790768818</v>
      </c>
      <c r="E21" s="94">
        <f t="shared" si="1"/>
        <v>641892.65790768818</v>
      </c>
      <c r="F21" s="95">
        <f t="shared" si="2"/>
        <v>802695.55491990852</v>
      </c>
      <c r="G21" s="344">
        <f t="shared" si="3"/>
        <v>0.25</v>
      </c>
      <c r="J21" s="99">
        <v>25.442853322698191</v>
      </c>
      <c r="K21" s="99">
        <v>127.94741995983472</v>
      </c>
      <c r="L21" s="99">
        <v>20.354282658158553</v>
      </c>
      <c r="M21" s="97">
        <v>0.79967137474896699</v>
      </c>
      <c r="N21" s="348"/>
    </row>
    <row r="22" spans="2:14" ht="20.25" customHeight="1">
      <c r="B22" s="98">
        <v>19</v>
      </c>
      <c r="C22" s="94">
        <f t="shared" si="0"/>
        <v>856848.44116831839</v>
      </c>
      <c r="D22" s="94">
        <f>(('1 R1 Pop'!G23*'3 Vol'!K22)/1000)*365</f>
        <v>642636.33087623876</v>
      </c>
      <c r="E22" s="94">
        <f t="shared" si="1"/>
        <v>642636.33087623888</v>
      </c>
      <c r="F22" s="95">
        <f t="shared" si="2"/>
        <v>803625.5281464532</v>
      </c>
      <c r="G22" s="344">
        <f t="shared" si="3"/>
        <v>0.25</v>
      </c>
      <c r="J22" s="99">
        <v>25.472330466619052</v>
      </c>
      <c r="K22" s="99">
        <v>127.94741995983472</v>
      </c>
      <c r="L22" s="99">
        <v>20.377864373295242</v>
      </c>
      <c r="M22" s="97">
        <v>0.79967137474896699</v>
      </c>
      <c r="N22" s="348"/>
    </row>
    <row r="23" spans="2:14" ht="20.25" customHeight="1">
      <c r="B23" s="98">
        <v>20</v>
      </c>
      <c r="C23" s="94">
        <f t="shared" si="0"/>
        <v>857840.00512638595</v>
      </c>
      <c r="D23" s="94">
        <f>(('1 R1 Pop'!G24*'3 Vol'!K23)/1000)*365</f>
        <v>643380.00384478946</v>
      </c>
      <c r="E23" s="94">
        <f t="shared" si="1"/>
        <v>643380.00384478946</v>
      </c>
      <c r="F23" s="95">
        <f t="shared" si="2"/>
        <v>804555.50137299765</v>
      </c>
      <c r="G23" s="344">
        <f t="shared" si="3"/>
        <v>0.25</v>
      </c>
      <c r="J23" s="99">
        <v>25.501807610539917</v>
      </c>
      <c r="K23" s="99">
        <v>127.94741995983472</v>
      </c>
      <c r="L23" s="99">
        <v>20.401446088431936</v>
      </c>
      <c r="M23" s="97">
        <v>0.79967137474896699</v>
      </c>
      <c r="N23" s="348"/>
    </row>
    <row r="24" spans="2:14" ht="20.25" customHeight="1">
      <c r="B24" s="98">
        <v>21</v>
      </c>
      <c r="C24" s="94">
        <f t="shared" si="0"/>
        <v>859059.56948371383</v>
      </c>
      <c r="D24" s="94">
        <f>(('1 R1 Pop'!G25*'3 Vol'!K24)/1000)*365</f>
        <v>644294.6771127854</v>
      </c>
      <c r="E24" s="94">
        <f t="shared" si="1"/>
        <v>644294.67711278528</v>
      </c>
      <c r="F24" s="95">
        <f t="shared" si="2"/>
        <v>805699.31281464512</v>
      </c>
      <c r="G24" s="344">
        <f t="shared" si="3"/>
        <v>0.25</v>
      </c>
      <c r="J24" s="99">
        <v>25.538062734366491</v>
      </c>
      <c r="K24" s="99">
        <v>127.94741995983472</v>
      </c>
      <c r="L24" s="99">
        <v>20.430450187493193</v>
      </c>
      <c r="M24" s="97">
        <v>0.79967137474896699</v>
      </c>
      <c r="N24" s="348"/>
    </row>
    <row r="25" spans="2:14" ht="20.25" customHeight="1">
      <c r="B25" s="98">
        <v>22</v>
      </c>
      <c r="C25" s="94">
        <f t="shared" si="0"/>
        <v>859906.47136516299</v>
      </c>
      <c r="D25" s="94">
        <f>(('1 R1 Pop'!G26*'3 Vol'!K25)/1000)*365</f>
        <v>644929.85352387221</v>
      </c>
      <c r="E25" s="94">
        <f t="shared" si="1"/>
        <v>644929.85352387221</v>
      </c>
      <c r="F25" s="95">
        <f t="shared" si="2"/>
        <v>806493.60961098387</v>
      </c>
      <c r="G25" s="344">
        <f t="shared" si="3"/>
        <v>0.25</v>
      </c>
      <c r="J25" s="99">
        <v>25.56323937420219</v>
      </c>
      <c r="K25" s="99">
        <v>127.94741995983472</v>
      </c>
      <c r="L25" s="99">
        <v>20.450591499361753</v>
      </c>
      <c r="M25" s="97">
        <v>0.79967137474896699</v>
      </c>
      <c r="N25" s="348"/>
    </row>
    <row r="26" spans="2:14" ht="20.25" customHeight="1">
      <c r="B26" s="98">
        <v>23</v>
      </c>
      <c r="C26" s="94">
        <f t="shared" si="0"/>
        <v>860753.37324661214</v>
      </c>
      <c r="D26" s="94">
        <f>(('1 R1 Pop'!G27*'3 Vol'!K26)/1000)*365</f>
        <v>645565.02993495914</v>
      </c>
      <c r="E26" s="94">
        <f t="shared" si="1"/>
        <v>645565.02993495914</v>
      </c>
      <c r="F26" s="95">
        <f t="shared" si="2"/>
        <v>807287.90640732273</v>
      </c>
      <c r="G26" s="344">
        <f t="shared" si="3"/>
        <v>0.25</v>
      </c>
      <c r="J26" s="99">
        <v>25.58841601403789</v>
      </c>
      <c r="K26" s="99">
        <v>127.94741995983472</v>
      </c>
      <c r="L26" s="99">
        <v>20.470732811230313</v>
      </c>
      <c r="M26" s="97">
        <v>0.79967137474896699</v>
      </c>
      <c r="N26" s="348"/>
    </row>
    <row r="27" spans="2:14" ht="20.25" customHeight="1">
      <c r="B27" s="98">
        <v>24</v>
      </c>
      <c r="C27" s="94">
        <f t="shared" si="0"/>
        <v>861600.27512806142</v>
      </c>
      <c r="D27" s="94">
        <f>(('1 R1 Pop'!G28*'3 Vol'!K27)/1000)*365</f>
        <v>646200.20634604606</v>
      </c>
      <c r="E27" s="94">
        <f t="shared" si="1"/>
        <v>646200.20634604595</v>
      </c>
      <c r="F27" s="95">
        <f t="shared" si="2"/>
        <v>808082.20320366137</v>
      </c>
      <c r="G27" s="344">
        <f t="shared" si="3"/>
        <v>0.25</v>
      </c>
      <c r="J27" s="99">
        <v>25.613592653873585</v>
      </c>
      <c r="K27" s="99">
        <v>127.94741995983472</v>
      </c>
      <c r="L27" s="99">
        <v>20.49087412309887</v>
      </c>
      <c r="M27" s="97">
        <v>0.79967137474896699</v>
      </c>
      <c r="N27" s="348"/>
    </row>
    <row r="28" spans="2:14" ht="20.25" customHeight="1">
      <c r="B28" s="98">
        <v>25</v>
      </c>
      <c r="C28" s="94">
        <f t="shared" si="0"/>
        <v>862447.17700951046</v>
      </c>
      <c r="D28" s="94">
        <f>(('1 R1 Pop'!G29*'3 Vol'!K28)/1000)*365</f>
        <v>646835.38275713287</v>
      </c>
      <c r="E28" s="94">
        <f t="shared" si="1"/>
        <v>646835.38275713287</v>
      </c>
      <c r="F28" s="95">
        <f t="shared" si="2"/>
        <v>808876.50000000012</v>
      </c>
      <c r="G28" s="344">
        <f t="shared" si="3"/>
        <v>0.25</v>
      </c>
      <c r="J28" s="99">
        <v>25.638769293709284</v>
      </c>
      <c r="K28" s="99">
        <v>127.94741995983472</v>
      </c>
      <c r="L28" s="99">
        <v>20.51101543496743</v>
      </c>
      <c r="M28" s="97">
        <v>0.79967137474896699</v>
      </c>
      <c r="N28" s="348"/>
    </row>
    <row r="29" spans="2:14" ht="20.25" customHeight="1">
      <c r="B29" s="98">
        <v>26</v>
      </c>
      <c r="C29" s="94">
        <f t="shared" si="0"/>
        <v>863666.74136683822</v>
      </c>
      <c r="D29" s="94">
        <f>(('1 R1 Pop'!G30*'3 Vol'!K29)/1000)*365</f>
        <v>647750.0560251287</v>
      </c>
      <c r="E29" s="94">
        <f t="shared" si="1"/>
        <v>647750.0560251287</v>
      </c>
      <c r="F29" s="95">
        <f t="shared" si="2"/>
        <v>810020.31144164759</v>
      </c>
      <c r="G29" s="344">
        <f t="shared" si="3"/>
        <v>0.25</v>
      </c>
      <c r="J29" s="99">
        <v>25.675024417535859</v>
      </c>
      <c r="K29" s="99">
        <v>127.94741995983472</v>
      </c>
      <c r="L29" s="99">
        <v>20.540019534028687</v>
      </c>
      <c r="M29" s="97">
        <v>0.79967137474896699</v>
      </c>
      <c r="N29" s="348"/>
    </row>
    <row r="30" spans="2:14" ht="20.25" customHeight="1">
      <c r="B30" s="98">
        <v>27</v>
      </c>
      <c r="C30" s="94">
        <f t="shared" si="0"/>
        <v>864554.84041440662</v>
      </c>
      <c r="D30" s="94">
        <f>(('1 R1 Pop'!G31*'3 Vol'!K30)/1000)*365</f>
        <v>648416.13031080493</v>
      </c>
      <c r="E30" s="94">
        <f t="shared" si="1"/>
        <v>648416.13031080482</v>
      </c>
      <c r="F30" s="95">
        <f t="shared" si="2"/>
        <v>810853.24645308929</v>
      </c>
      <c r="G30" s="344">
        <f t="shared" si="3"/>
        <v>0.25</v>
      </c>
      <c r="J30" s="99">
        <v>25.701425763841517</v>
      </c>
      <c r="K30" s="99">
        <v>127.94741995983472</v>
      </c>
      <c r="L30" s="99">
        <v>20.561140611073213</v>
      </c>
      <c r="M30" s="97">
        <v>0.79967137474896699</v>
      </c>
      <c r="N30" s="348"/>
    </row>
    <row r="31" spans="2:14" ht="20.25" customHeight="1">
      <c r="B31" s="98">
        <v>28</v>
      </c>
      <c r="C31" s="94">
        <f t="shared" si="0"/>
        <v>865464.01004023605</v>
      </c>
      <c r="D31" s="94">
        <f>(('1 R1 Pop'!G32*'3 Vol'!K31)/1000)*365</f>
        <v>649098.00753017701</v>
      </c>
      <c r="E31" s="94">
        <f t="shared" si="1"/>
        <v>649098.00753017713</v>
      </c>
      <c r="F31" s="95">
        <f t="shared" si="2"/>
        <v>811705.94324942806</v>
      </c>
      <c r="G31" s="344">
        <f t="shared" si="3"/>
        <v>0.25</v>
      </c>
      <c r="J31" s="99">
        <v>25.728453494822467</v>
      </c>
      <c r="K31" s="99">
        <v>127.94741995983472</v>
      </c>
      <c r="L31" s="99">
        <v>20.582762795857974</v>
      </c>
      <c r="M31" s="97">
        <v>0.79967137474896699</v>
      </c>
      <c r="N31" s="348"/>
    </row>
    <row r="32" spans="2:14" ht="20.25" customHeight="1">
      <c r="B32" s="98">
        <v>29</v>
      </c>
      <c r="C32" s="94">
        <f t="shared" si="0"/>
        <v>866414.37683218473</v>
      </c>
      <c r="D32" s="94">
        <f>(('1 R1 Pop'!G33*'3 Vol'!K32)/1000)*365</f>
        <v>649810.78262413852</v>
      </c>
      <c r="E32" s="94">
        <f t="shared" si="1"/>
        <v>649810.78262413852</v>
      </c>
      <c r="F32" s="95">
        <f t="shared" si="2"/>
        <v>812597.27826086967</v>
      </c>
      <c r="G32" s="344">
        <f t="shared" si="3"/>
        <v>0.25</v>
      </c>
      <c r="J32" s="99">
        <v>25.75670593227337</v>
      </c>
      <c r="K32" s="99">
        <v>127.94741995983472</v>
      </c>
      <c r="L32" s="99">
        <v>20.605364745818697</v>
      </c>
      <c r="M32" s="97">
        <v>0.79967137474896699</v>
      </c>
      <c r="N32" s="348"/>
    </row>
    <row r="33" spans="2:14" ht="20.25" customHeight="1" thickBot="1">
      <c r="B33" s="100">
        <v>30</v>
      </c>
      <c r="C33" s="377">
        <f t="shared" si="0"/>
        <v>866930.75739427784</v>
      </c>
      <c r="D33" s="378">
        <f>(('1 R1 Pop'!G34*'3 Vol'!K33)/1000)*365</f>
        <v>650198.06804570835</v>
      </c>
      <c r="E33" s="378">
        <f t="shared" si="1"/>
        <v>650198.06804570847</v>
      </c>
      <c r="F33" s="370">
        <f t="shared" si="2"/>
        <v>813081.58398169349</v>
      </c>
      <c r="G33" s="379">
        <f t="shared" si="3"/>
        <v>0.25</v>
      </c>
      <c r="J33" s="99">
        <v>25.77205685746878</v>
      </c>
      <c r="K33" s="99">
        <v>127.94741995983472</v>
      </c>
      <c r="L33" s="99">
        <v>20.617645485975025</v>
      </c>
      <c r="M33" s="97">
        <v>0.79967137474896699</v>
      </c>
      <c r="N33" s="348"/>
    </row>
    <row r="34" spans="2:14">
      <c r="C34" s="101"/>
      <c r="D34" s="101"/>
      <c r="E34" s="101"/>
    </row>
    <row r="35" spans="2:14">
      <c r="C35" s="101"/>
      <c r="D35" s="101"/>
      <c r="E35" s="101"/>
    </row>
    <row r="36" spans="2:14">
      <c r="C36" s="101"/>
      <c r="D36" s="101"/>
      <c r="E36" s="101"/>
    </row>
    <row r="37" spans="2:14">
      <c r="C37" s="101"/>
      <c r="D37" s="101"/>
      <c r="E37" s="101"/>
    </row>
    <row r="38" spans="2:14">
      <c r="C38" s="101"/>
      <c r="D38" s="101"/>
      <c r="E38" s="101"/>
    </row>
    <row r="39" spans="2:14">
      <c r="C39" s="101"/>
      <c r="D39" s="101"/>
      <c r="E39" s="101"/>
    </row>
    <row r="40" spans="2:14">
      <c r="C40" s="101"/>
      <c r="D40" s="101"/>
      <c r="E40" s="101"/>
    </row>
    <row r="41" spans="2:14">
      <c r="C41" s="101"/>
      <c r="D41" s="101"/>
      <c r="E41" s="101"/>
    </row>
    <row r="42" spans="2:14">
      <c r="C42" s="101"/>
      <c r="D42" s="101"/>
      <c r="E42" s="101"/>
    </row>
  </sheetData>
  <mergeCells count="9">
    <mergeCell ref="L2:L3"/>
    <mergeCell ref="J2:J3"/>
    <mergeCell ref="K2:K3"/>
    <mergeCell ref="B2:B3"/>
    <mergeCell ref="C2:C3"/>
    <mergeCell ref="F2:F3"/>
    <mergeCell ref="G2:G3"/>
    <mergeCell ref="D2:D3"/>
    <mergeCell ref="E2:E3"/>
  </mergeCells>
  <phoneticPr fontId="12" type="noConversion"/>
  <printOptions horizontalCentered="1"/>
  <pageMargins left="0.98425196850393704" right="0.59055118110236227" top="1.9685039370078741" bottom="1.0629921259842521" header="0.39370078740157483" footer="0.39370078740157483"/>
  <pageSetup paperSize="9" scale="6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30</vt:i4>
      </vt:variant>
      <vt:variant>
        <vt:lpstr>Intervalos Nomeados</vt:lpstr>
      </vt:variant>
      <vt:variant>
        <vt:i4>42</vt:i4>
      </vt:variant>
    </vt:vector>
  </HeadingPairs>
  <TitlesOfParts>
    <vt:vector size="72" baseType="lpstr">
      <vt:lpstr>TS-Resumo</vt:lpstr>
      <vt:lpstr>TS-13 R1 FAT 1</vt:lpstr>
      <vt:lpstr>TS - 14 R1 FAT 2</vt:lpstr>
      <vt:lpstr>R1 DEPR</vt:lpstr>
      <vt:lpstr>TS-R1 DRE</vt:lpstr>
      <vt:lpstr>TS-R1 FC</vt:lpstr>
      <vt:lpstr>1 R1 Pop</vt:lpstr>
      <vt:lpstr>2 R1 Lig</vt:lpstr>
      <vt:lpstr>3 Vol</vt:lpstr>
      <vt:lpstr>4 R1 Vazões</vt:lpstr>
      <vt:lpstr>5 Perdas</vt:lpstr>
      <vt:lpstr>6 Inv Agua</vt:lpstr>
      <vt:lpstr>7 Inv Esgoto</vt:lpstr>
      <vt:lpstr>8 RH</vt:lpstr>
      <vt:lpstr>8 R1 RH</vt:lpstr>
      <vt:lpstr>9 EE</vt:lpstr>
      <vt:lpstr>9 R1 EE</vt:lpstr>
      <vt:lpstr>10 PQ A SA</vt:lpstr>
      <vt:lpstr>10 PQ A AF</vt:lpstr>
      <vt:lpstr>10 PQ A CL</vt:lpstr>
      <vt:lpstr>11 R1 PQ E</vt:lpstr>
      <vt:lpstr>12 R1 Tarifa</vt:lpstr>
      <vt:lpstr>12 R1 Serviços</vt:lpstr>
      <vt:lpstr>15 R1 ARREC</vt:lpstr>
      <vt:lpstr>16 R1 OPEX</vt:lpstr>
      <vt:lpstr>17 R1 INV COMP</vt:lpstr>
      <vt:lpstr>17 R1 INV</vt:lpstr>
      <vt:lpstr>R1 Aux Inv 1</vt:lpstr>
      <vt:lpstr>R1 Aux Inv 2</vt:lpstr>
      <vt:lpstr>18 R1 Invest Total</vt:lpstr>
      <vt:lpstr>'1 R1 Pop'!Area_de_impressao</vt:lpstr>
      <vt:lpstr>'10 PQ A AF'!Area_de_impressao</vt:lpstr>
      <vt:lpstr>'10 PQ A CL'!Area_de_impressao</vt:lpstr>
      <vt:lpstr>'10 PQ A SA'!Area_de_impressao</vt:lpstr>
      <vt:lpstr>'11 R1 PQ E'!Area_de_impressao</vt:lpstr>
      <vt:lpstr>'12 R1 Serviços'!Area_de_impressao</vt:lpstr>
      <vt:lpstr>'12 R1 Tarifa'!Area_de_impressao</vt:lpstr>
      <vt:lpstr>'15 R1 ARREC'!Area_de_impressao</vt:lpstr>
      <vt:lpstr>'16 R1 OPEX'!Area_de_impressao</vt:lpstr>
      <vt:lpstr>'17 R1 INV'!Area_de_impressao</vt:lpstr>
      <vt:lpstr>'18 R1 Invest Total'!Area_de_impressao</vt:lpstr>
      <vt:lpstr>'2 R1 Lig'!Area_de_impressao</vt:lpstr>
      <vt:lpstr>'3 Vol'!Area_de_impressao</vt:lpstr>
      <vt:lpstr>'4 R1 Vazões'!Area_de_impressao</vt:lpstr>
      <vt:lpstr>'6 Inv Agua'!Area_de_impressao</vt:lpstr>
      <vt:lpstr>'7 Inv Esgoto'!Area_de_impressao</vt:lpstr>
      <vt:lpstr>'8 R1 RH'!Area_de_impressao</vt:lpstr>
      <vt:lpstr>'9 R1 EE'!Area_de_impressao</vt:lpstr>
      <vt:lpstr>'TS - 14 R1 FAT 2'!Area_de_impressao</vt:lpstr>
      <vt:lpstr>'TS-13 R1 FAT 1'!Area_de_impressao</vt:lpstr>
      <vt:lpstr>'TS-R1 DRE'!Area_de_impressao</vt:lpstr>
      <vt:lpstr>'TS-R1 FC'!Area_de_impressao</vt:lpstr>
      <vt:lpstr>'1 R1 Pop'!Titulos_de_impressao</vt:lpstr>
      <vt:lpstr>'10 PQ A AF'!Titulos_de_impressao</vt:lpstr>
      <vt:lpstr>'10 PQ A CL'!Titulos_de_impressao</vt:lpstr>
      <vt:lpstr>'10 PQ A SA'!Titulos_de_impressao</vt:lpstr>
      <vt:lpstr>'11 R1 PQ E'!Titulos_de_impressao</vt:lpstr>
      <vt:lpstr>'15 R1 ARREC'!Titulos_de_impressao</vt:lpstr>
      <vt:lpstr>'16 R1 OPEX'!Titulos_de_impressao</vt:lpstr>
      <vt:lpstr>'17 R1 INV'!Titulos_de_impressao</vt:lpstr>
      <vt:lpstr>'18 R1 Invest Total'!Titulos_de_impressao</vt:lpstr>
      <vt:lpstr>'2 R1 Lig'!Titulos_de_impressao</vt:lpstr>
      <vt:lpstr>'3 Vol'!Titulos_de_impressao</vt:lpstr>
      <vt:lpstr>'4 R1 Vazões'!Titulos_de_impressao</vt:lpstr>
      <vt:lpstr>'6 Inv Agua'!Titulos_de_impressao</vt:lpstr>
      <vt:lpstr>'7 Inv Esgoto'!Titulos_de_impressao</vt:lpstr>
      <vt:lpstr>'8 R1 RH'!Titulos_de_impressao</vt:lpstr>
      <vt:lpstr>'9 R1 EE'!Titulos_de_impressao</vt:lpstr>
      <vt:lpstr>'TS - 14 R1 FAT 2'!Titulos_de_impressao</vt:lpstr>
      <vt:lpstr>'TS-13 R1 FAT 1'!Titulos_de_impressao</vt:lpstr>
      <vt:lpstr>'TS-R1 DRE'!Titulos_de_impressao</vt:lpstr>
      <vt:lpstr>'TS-R1 FC'!Titulos_de_impressao</vt:lpstr>
    </vt:vector>
  </TitlesOfParts>
  <Company>Cinco Engenheiros Consultores Ltda.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Convidado</dc:creator>
  <cp:lastModifiedBy>Rodrigo Taufic</cp:lastModifiedBy>
  <cp:lastPrinted>2019-08-23T11:26:46Z</cp:lastPrinted>
  <dcterms:created xsi:type="dcterms:W3CDTF">2007-03-23T12:47:23Z</dcterms:created>
  <dcterms:modified xsi:type="dcterms:W3CDTF">2025-11-19T18:44:58Z</dcterms:modified>
</cp:coreProperties>
</file>